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021" documentId="8_{B6337239-1A00-434D-AAD0-422EA1FEB5AE}" xr6:coauthVersionLast="47" xr6:coauthVersionMax="47" xr10:uidLastSave="{D67494C7-4CC0-4AE4-8BDF-9236DF48E0E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7" i="1" l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85" i="1" l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<sst xmlns="http://schemas.openxmlformats.org/spreadsheetml/2006/main" count="4624" uniqueCount="1128">
  <si>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</si>
  <si>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</si>
  <si>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</si>
  <si>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</si>
  <si>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</si>
  <si>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</si>
  <si>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</si>
  <si>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</si>
  <si>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</si>
  <si>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</si>
  <si>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</si>
  <si>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</si>
  <si>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</si>
  <si>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</si>
  <si>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</si>
  <si>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</si>
  <si>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</si>
  <si>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</si>
  <si>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</si>
  <si>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</si>
  <si>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</si>
  <si>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</si>
  <si>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</si>
  <si>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</si>
  <si>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</si>
  <si>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</si>
  <si>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</si>
  <si>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</si>
  <si>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</si>
  <si>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</si>
  <si>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</si>
  <si>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</si>
  <si>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</si>
  <si>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</si>
  <si>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</si>
  <si>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</si>
  <si>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</si>
  <si>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</si>
  <si>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</si>
  <si>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</si>
  <si>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</si>
  <si>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</si>
  <si>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</si>
  <si>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</si>
  <si>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</si>
  <si>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</si>
  <si>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</si>
  <si>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</si>
  <si>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</si>
  <si>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</si>
  <si>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</si>
  <si>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</si>
  <si>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</si>
  <si>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</si>
  <si>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</si>
  <si>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</si>
  <si>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</si>
  <si>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</si>
  <si>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</si>
  <si>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</si>
  <si>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</si>
  <si>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</si>
  <si>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</si>
  <si>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</si>
  <si>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</si>
  <si>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</si>
  <si>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</si>
  <si>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</si>
  <si>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</si>
  <si>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</si>
  <si>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</si>
  <si>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</si>
  <si>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</si>
  <si>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</si>
  <si>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</si>
  <si>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</si>
  <si>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</si>
  <si>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</si>
  <si>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</si>
  <si>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</si>
  <si>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</si>
  <si>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</si>
  <si>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</si>
  <si>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</si>
  <si>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</si>
  <si>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</si>
  <si>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</si>
  <si>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</si>
  <si>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</si>
  <si>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</si>
  <si>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</si>
  <si>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</si>
  <si>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</si>
  <si>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</si>
  <si>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</si>
  <si>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</si>
  <si>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</si>
  <si>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</si>
  <si>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</si>
  <si>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</si>
  <si>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</si>
  <si>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</si>
  <si>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</si>
  <si>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</si>
  <si>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</si>
  <si>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</si>
  <si>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</si>
  <si>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</si>
  <si>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</si>
  <si>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</si>
  <si>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</si>
  <si>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</si>
  <si>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</si>
  <si>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</si>
  <si>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</si>
  <si>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</si>
  <si>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</si>
  <si>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</si>
  <si>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</si>
  <si>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</si>
  <si>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</si>
  <si>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</si>
  <si>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</si>
  <si>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</si>
  <si>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</si>
  <si>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</si>
  <si>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</si>
  <si>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</si>
  <si>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</si>
  <si>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</si>
  <si>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</si>
  <si>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</si>
  <si>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</si>
  <si>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</si>
  <si>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</si>
  <si>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</si>
  <si>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</si>
  <si>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</si>
  <si>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</si>
  <si>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</si>
  <si>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</si>
  <si>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</si>
  <si>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</si>
  <si>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</si>
  <si>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</si>
  <si>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</si>
  <si>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</si>
  <si>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</si>
  <si>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</si>
  <si>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</si>
  <si>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</si>
  <si>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</si>
  <si>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</si>
  <si>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</si>
  <si>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</si>
  <si>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</si>
  <si>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</si>
  <si>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</si>
  <si>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</si>
  <si>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</si>
  <si>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</si>
  <si>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</si>
  <si>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</si>
  <si>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</si>
  <si>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</si>
  <si>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</si>
  <si>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</si>
  <si>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</si>
  <si>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</si>
  <si>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</si>
  <si>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</si>
  <si>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</si>
  <si>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</si>
  <si>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</si>
  <si>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</si>
  <si>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</si>
  <si>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</si>
  <si>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</si>
  <si>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</si>
  <si>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</si>
  <si>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</si>
  <si>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</si>
  <si>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</si>
  <si>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</si>
  <si>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</si>
  <si>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</si>
  <si>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</si>
  <si>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</si>
  <si>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</si>
  <si>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</si>
  <si>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</si>
  <si>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</si>
  <si>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</si>
  <si>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</si>
  <si>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</si>
  <si>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</si>
  <si>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</si>
  <si>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</si>
  <si>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</si>
  <si>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</si>
  <si>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</si>
  <si>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</si>
  <si>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</si>
  <si>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</si>
  <si>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</si>
  <si>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</si>
  <si>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</si>
  <si>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</si>
  <si>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</si>
  <si>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</si>
  <si>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</si>
  <si>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</si>
  <si>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</si>
  <si>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</si>
  <si>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</si>
  <si>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</si>
  <si>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</si>
  <si>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</si>
  <si>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</si>
  <si>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</si>
  <si>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</si>
  <si>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</si>
  <si>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</si>
  <si>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</si>
  <si>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</si>
  <si>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</si>
  <si>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</si>
  <si>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</si>
  <si>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</si>
  <si>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</si>
  <si>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</si>
  <si>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</si>
  <si>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</si>
  <si>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</si>
  <si>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</si>
  <si>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</si>
  <si>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</si>
  <si>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</si>
  <si>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</si>
  <si>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</si>
  <si>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</si>
  <si>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</si>
  <si>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</si>
  <si>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</si>
  <si>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</si>
  <si>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</si>
  <si>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</si>
  <si>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</si>
  <si>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</si>
  <si>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</si>
  <si>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</si>
  <si>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</si>
  <si>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</si>
  <si>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</si>
  <si>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</si>
  <si>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</si>
  <si>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</si>
  <si>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</si>
  <si>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</si>
  <si>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</si>
  <si>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</si>
  <si>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</si>
  <si>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</si>
  <si>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</si>
  <si>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</si>
  <si>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</si>
  <si>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</si>
  <si>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</si>
  <si>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</si>
  <si>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</si>
  <si>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</si>
  <si>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</si>
  <si>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</si>
  <si>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</si>
  <si>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</si>
  <si>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</si>
  <si>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</si>
  <si>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</si>
  <si>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</si>
  <si>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</si>
  <si>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</si>
  <si>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</si>
  <si>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</si>
  <si>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</si>
  <si>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</si>
  <si>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</si>
  <si>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</si>
  <si>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</si>
  <si>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</si>
  <si>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</si>
  <si>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</si>
  <si>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</si>
  <si>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</si>
  <si>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</si>
  <si>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</si>
  <si>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</si>
  <si>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</si>
  <si>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</si>
  <si>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</si>
  <si>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</si>
  <si>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</si>
  <si>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</si>
  <si>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</si>
  <si>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</si>
  <si>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</si>
  <si>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</si>
  <si>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</si>
  <si>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</si>
  <si>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</si>
  <si>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</si>
  <si>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</si>
  <si>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</si>
  <si>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</si>
  <si>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</si>
  <si>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</si>
  <si>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</si>
  <si>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</si>
  <si>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</si>
  <si>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</si>
  <si>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</si>
  <si>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</si>
  <si>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</si>
  <si>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</si>
  <si>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</si>
  <si>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</si>
  <si>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</si>
  <si>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</si>
  <si>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</si>
  <si>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</si>
  <si>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</si>
  <si>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</si>
  <si>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</si>
  <si>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</si>
  <si>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</si>
  <si>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</si>
  <si>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</si>
  <si>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</si>
  <si>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</si>
  <si>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</si>
  <si>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</si>
  <si>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</si>
  <si>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</si>
  <si>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</si>
  <si>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</si>
  <si>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</si>
  <si>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</si>
  <si>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</si>
  <si>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</si>
  <si>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</si>
  <si>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</si>
  <si>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</si>
  <si>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</si>
  <si>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</si>
  <si>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</si>
  <si>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</si>
  <si>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</si>
  <si>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</si>
  <si>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</si>
  <si>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</si>
  <si>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</si>
  <si>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</si>
  <si>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</si>
  <si>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</si>
  <si>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</si>
  <si>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</si>
  <si>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</si>
  <si>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</si>
  <si>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</si>
  <si>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</si>
  <si>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</si>
  <si>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</si>
  <si>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</si>
  <si>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</si>
  <si>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</si>
  <si>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</si>
  <si>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</si>
  <si>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</si>
  <si>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</si>
  <si>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</si>
  <si>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</si>
  <si>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</si>
  <si>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</si>
  <si>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</si>
  <si>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</si>
  <si>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</si>
  <si>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</si>
  <si>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</si>
  <si>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</si>
  <si>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</si>
  <si>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</si>
  <si>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</si>
  <si>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</si>
  <si>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</si>
  <si>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</si>
  <si>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</si>
  <si>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</si>
  <si>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</si>
  <si>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</si>
  <si>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</si>
  <si>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</si>
  <si>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</si>
  <si>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</si>
  <si>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</si>
  <si>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</si>
  <si>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</si>
  <si>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</si>
  <si>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</si>
  <si>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</si>
  <si>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</si>
  <si>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</si>
  <si>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</si>
  <si>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</si>
  <si>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</si>
  <si>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</si>
  <si>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</si>
  <si>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</si>
  <si>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</si>
  <si>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</si>
  <si>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</si>
  <si>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</si>
  <si>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</si>
  <si>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</si>
  <si>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</si>
  <si>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</si>
  <si>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</si>
  <si>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</si>
  <si>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</si>
  <si>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</si>
  <si>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</si>
  <si>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</si>
  <si>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</si>
  <si>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</si>
  <si>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</si>
  <si>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</si>
  <si>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</si>
  <si>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</si>
  <si>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</si>
  <si>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</si>
  <si>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</si>
  <si>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</si>
  <si>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</si>
  <si>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</si>
  <si>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</si>
  <si>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</si>
  <si>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</si>
  <si>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</si>
  <si>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</si>
  <si>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</si>
  <si>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</si>
  <si>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</si>
  <si>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</si>
  <si>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</si>
  <si>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</si>
  <si>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</si>
  <si>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</si>
  <si>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</si>
  <si>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</si>
  <si>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</si>
  <si>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</si>
  <si>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</si>
  <si>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</si>
  <si>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</si>
  <si>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</si>
  <si>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</si>
  <si>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</si>
  <si>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</si>
  <si>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</si>
  <si>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</si>
  <si>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</si>
  <si>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</si>
  <si>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</si>
  <si>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</si>
  <si>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</si>
  <si>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</si>
  <si>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</si>
  <si>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</si>
  <si>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</si>
  <si>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</si>
  <si>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</si>
  <si>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</si>
  <si>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</si>
  <si>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</si>
  <si>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</si>
  <si>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</si>
  <si>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</si>
  <si>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</si>
  <si>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</si>
  <si>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</si>
  <si>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</si>
  <si>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</si>
  <si>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</si>
  <si>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</si>
  <si>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</si>
  <si>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</si>
  <si>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</si>
  <si>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</si>
  <si>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</si>
  <si>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</si>
  <si>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</si>
  <si>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</si>
  <si>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</si>
  <si>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</si>
  <si>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</si>
  <si>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</si>
  <si>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</si>
  <si>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</si>
  <si>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</si>
  <si>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</si>
  <si>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</si>
  <si>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</si>
  <si>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</si>
  <si>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</si>
  <si>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</si>
  <si>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</si>
  <si>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</si>
  <si>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</si>
  <si>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</si>
  <si>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</si>
  <si>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</si>
  <si>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</si>
  <si>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</si>
  <si>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</si>
  <si>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</si>
  <si>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</si>
  <si>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</si>
  <si>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</si>
  <si>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</si>
  <si>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</si>
  <si>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</si>
  <si>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</si>
  <si>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</si>
  <si>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</si>
  <si>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</si>
  <si>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</si>
  <si>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</si>
  <si>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</si>
  <si>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</si>
  <si>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</si>
  <si>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</si>
  <si>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</si>
  <si>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</si>
  <si>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</si>
  <si>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</si>
  <si>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</si>
  <si>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</si>
  <si>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</si>
  <si>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</si>
  <si>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</si>
  <si>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</si>
  <si>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</si>
  <si>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</si>
  <si>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</si>
  <si>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</si>
  <si>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</si>
  <si>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</si>
  <si>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</si>
  <si>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</si>
  <si>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</si>
  <si>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</si>
  <si>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</si>
  <si>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</si>
  <si>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</si>
  <si>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</si>
  <si>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</si>
  <si>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</si>
  <si>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</si>
  <si>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</si>
  <si>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</si>
  <si>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</si>
  <si>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</si>
  <si>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</si>
  <si>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</si>
  <si>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</si>
  <si>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</si>
  <si>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</si>
  <si>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</si>
  <si>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</si>
  <si>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</si>
  <si>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</si>
  <si>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</si>
  <si>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</si>
  <si>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</si>
  <si>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</si>
  <si>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</si>
  <si>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</si>
  <si>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</si>
  <si>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</si>
  <si>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</si>
  <si>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</si>
  <si>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</si>
  <si>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</si>
  <si>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</si>
  <si>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</si>
  <si>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</si>
  <si>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</si>
  <si>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</si>
  <si>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</si>
  <si>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</si>
  <si>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</si>
  <si>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</si>
  <si>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</si>
  <si>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</si>
  <si>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</si>
  <si>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</si>
  <si>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</si>
  <si>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</si>
  <si>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</si>
  <si>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</si>
  <si>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</si>
  <si>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</si>
  <si>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</si>
  <si>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</si>
  <si>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</si>
  <si>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</si>
  <si>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</si>
  <si>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</si>
  <si>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</si>
  <si>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</si>
  <si>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</si>
  <si>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</si>
  <si>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</si>
  <si>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</si>
  <si>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</si>
  <si>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</si>
  <si>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</si>
  <si>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</si>
  <si>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</si>
  <si>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</si>
  <si>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</si>
  <si>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</si>
  <si>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</si>
  <si>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</si>
  <si>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</si>
  <si>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</si>
  <si>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</si>
  <si>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</si>
  <si>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</si>
  <si>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</si>
  <si>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</si>
  <si>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</si>
  <si>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</si>
  <si>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</si>
  <si>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</si>
  <si>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</si>
  <si>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</si>
  <si>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</si>
  <si>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</si>
  <si>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</si>
  <si>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</si>
  <si>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</si>
  <si>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</si>
  <si>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</si>
  <si>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</si>
  <si>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</si>
  <si>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</si>
  <si>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</si>
  <si>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</si>
  <si>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</si>
  <si>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</si>
  <si>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</si>
  <si>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</si>
  <si>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</si>
  <si>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</si>
  <si>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</si>
  <si>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</si>
  <si>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</si>
  <si>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</si>
  <si>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</si>
  <si>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</si>
  <si>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</si>
  <si>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</si>
  <si>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</si>
  <si>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</si>
  <si>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</si>
  <si>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</si>
  <si>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</si>
  <si>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</si>
  <si>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</si>
  <si>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</si>
  <si>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</si>
  <si>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</si>
  <si>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</si>
  <si>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</si>
  <si>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</si>
  <si>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</si>
  <si>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</si>
  <si>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</si>
  <si>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</si>
  <si>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</si>
  <si>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</si>
  <si>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</si>
  <si>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</si>
  <si>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</si>
  <si>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</si>
  <si>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</si>
  <si>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</si>
  <si>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</si>
  <si>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</si>
  <si>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</si>
  <si>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</si>
  <si>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</si>
  <si>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</si>
  <si>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</si>
  <si>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</si>
  <si>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</si>
  <si>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</si>
  <si>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</si>
  <si>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</si>
  <si>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</si>
  <si>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</si>
  <si>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</si>
  <si>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</si>
  <si>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</si>
  <si>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</si>
  <si>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</si>
  <si>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</si>
  <si>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</si>
  <si>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</si>
  <si>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</si>
  <si>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</si>
  <si>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</si>
  <si>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</si>
  <si>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</si>
  <si>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</si>
  <si>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</si>
  <si>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</si>
  <si>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</si>
  <si>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</si>
  <si>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</si>
  <si>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</si>
  <si>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</si>
  <si>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</si>
  <si>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</si>
  <si>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</si>
  <si>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</si>
  <si>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</si>
  <si>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</si>
  <si>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</si>
  <si>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</si>
  <si>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</si>
  <si>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</si>
  <si>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</si>
  <si>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</si>
  <si>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</si>
  <si>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</si>
  <si>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</si>
  <si>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</si>
  <si>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</si>
  <si>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</si>
  <si>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</si>
  <si>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</si>
  <si>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</si>
  <si>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</si>
  <si>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</si>
  <si>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</si>
  <si>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</si>
  <si>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</si>
  <si>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</si>
  <si>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</si>
  <si>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</si>
  <si>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</si>
  <si>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</si>
  <si>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</si>
  <si>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</si>
  <si>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</si>
  <si>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</si>
  <si>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</si>
  <si>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</si>
  <si>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</si>
  <si>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</si>
  <si>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</si>
  <si>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</si>
  <si>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</si>
  <si>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</si>
  <si>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</si>
  <si>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</si>
  <si>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</si>
  <si>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</si>
  <si>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</si>
  <si>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</si>
  <si>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</si>
  <si>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</si>
  <si>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</si>
  <si>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</si>
  <si>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</si>
  <si>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</si>
  <si>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</si>
  <si>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</si>
  <si>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</si>
  <si>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</si>
  <si>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</si>
  <si>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</si>
  <si>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</si>
  <si>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</si>
  <si>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</si>
  <si>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</si>
  <si>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</si>
  <si>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</si>
  <si>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</si>
  <si>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</si>
  <si>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</si>
  <si>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</si>
  <si>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</si>
  <si>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</si>
  <si>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</si>
  <si>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</si>
  <si>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</si>
  <si>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</si>
  <si>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</si>
  <si>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</si>
  <si>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</si>
  <si>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</si>
  <si>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</si>
  <si>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</si>
  <si>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</si>
  <si>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</si>
  <si>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</si>
  <si>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</si>
  <si>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</si>
  <si>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</si>
  <si>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</si>
  <si>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</si>
  <si>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</si>
  <si>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</si>
  <si>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</si>
  <si>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</si>
  <si>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</si>
  <si>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</si>
  <si>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</si>
  <si>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</si>
  <si>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</si>
  <si>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</si>
  <si>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</si>
  <si>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</si>
  <si>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</si>
  <si>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</si>
  <si>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</si>
  <si>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</si>
  <si>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</si>
  <si>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</si>
  <si>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</si>
  <si>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</si>
  <si>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</si>
  <si>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</si>
  <si>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</si>
  <si>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</si>
  <si>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</si>
  <si>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</si>
  <si>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</si>
  <si>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</si>
  <si>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</si>
  <si>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</si>
  <si>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</si>
  <si>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</si>
  <si>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</si>
  <si>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</si>
  <si>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</si>
  <si>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</si>
  <si>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</si>
  <si>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</si>
  <si>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</si>
  <si>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</si>
  <si>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</si>
  <si>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</si>
  <si>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</si>
  <si>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</si>
  <si>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</si>
  <si>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</si>
  <si>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</si>
  <si>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</si>
  <si>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</si>
  <si>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</si>
  <si>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</si>
  <si>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</si>
  <si>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</si>
  <si>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</si>
  <si>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</si>
  <si>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</si>
  <si>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</si>
  <si>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</si>
  <si>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</si>
  <si>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</si>
  <si>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</si>
  <si>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</si>
  <si>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</si>
  <si>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</si>
  <si>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</si>
  <si>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</si>
  <si>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</si>
  <si>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</si>
  <si>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</si>
  <si>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</si>
  <si>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</si>
  <si>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</si>
  <si>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</si>
  <si>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</si>
  <si>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</si>
  <si>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</si>
  <si>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</si>
  <si>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</si>
  <si>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</si>
  <si>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</si>
  <si>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</si>
  <si>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</si>
  <si>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</si>
  <si>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</si>
  <si>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</si>
  <si>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</si>
  <si>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</si>
  <si>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</si>
  <si>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</si>
  <si>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</si>
  <si>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</si>
  <si>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</si>
  <si>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</si>
  <si>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</si>
  <si>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</si>
  <si>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</si>
  <si>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</si>
  <si>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</si>
  <si>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</si>
  <si>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</si>
  <si>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</si>
  <si>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</si>
  <si>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</si>
  <si>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</si>
  <si>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</si>
  <si>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</si>
  <si>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</si>
  <si>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</si>
  <si>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</si>
  <si>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</si>
  <si>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</si>
  <si>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</si>
  <si>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</si>
  <si>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</si>
  <si>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</si>
  <si>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</si>
  <si>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</si>
  <si>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</si>
  <si>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</si>
  <si>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</si>
  <si>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</si>
  <si>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</si>
  <si>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</si>
  <si>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</si>
  <si>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</si>
  <si>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</si>
  <si>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</si>
  <si>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</si>
  <si>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</si>
  <si>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</si>
  <si>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</si>
  <si>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</si>
  <si>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</si>
  <si>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</si>
  <si>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</si>
  <si>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</si>
  <si>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</si>
  <si>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</si>
  <si>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</si>
  <si>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</si>
  <si>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</si>
  <si>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</si>
  <si>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</si>
  <si>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</si>
  <si>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</si>
  <si>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</si>
  <si>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</si>
  <si>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</si>
  <si>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</si>
  <si>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</si>
  <si>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</si>
  <si>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</si>
  <si>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</si>
  <si>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</si>
  <si>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</si>
  <si>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</si>
  <si>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</si>
  <si>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</si>
  <si>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</si>
  <si>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</si>
  <si>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</si>
  <si>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</si>
  <si>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</si>
  <si>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</si>
  <si>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</si>
  <si>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</si>
  <si>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</si>
  <si>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</si>
  <si>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</si>
  <si>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</si>
  <si>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</si>
  <si>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</si>
  <si>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</si>
  <si>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</si>
  <si>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</si>
  <si>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</si>
  <si>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</si>
  <si>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</si>
  <si>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</si>
  <si>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</si>
  <si>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</si>
  <si>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</si>
  <si>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</si>
  <si>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</si>
  <si>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</si>
  <si>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</si>
  <si>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</si>
  <si>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</si>
  <si>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</si>
  <si>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</si>
  <si>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</si>
  <si>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</si>
  <si>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</si>
  <si>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</si>
  <si>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</si>
  <si>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</si>
  <si>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</si>
  <si>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</si>
  <si>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</si>
  <si>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</si>
  <si>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</si>
  <si>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</si>
  <si>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</si>
  <si>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</si>
  <si>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</si>
  <si>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</si>
  <si>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</si>
  <si>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</si>
  <si>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</si>
  <si>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</si>
  <si>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</si>
  <si>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</si>
  <si>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</si>
  <si>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</si>
  <si>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</si>
  <si>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</si>
  <si>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</si>
  <si>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</si>
  <si>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</si>
  <si>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</si>
  <si>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</si>
  <si>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</si>
  <si>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</si>
  <si>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</si>
  <si>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</si>
  <si>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</si>
  <si>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</si>
  <si>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</si>
  <si>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</si>
  <si>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</si>
  <si>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</si>
  <si>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</si>
  <si>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</si>
  <si>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</si>
  <si>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Erro na MC1 (Em análise)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</si>
  <si>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</si>
  <si>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</si>
  <si>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</si>
  <si>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</si>
  <si>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</si>
  <si>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para substituição de dormentes / Realizado 68m de nivelamento conínuo no intervalo (Alt. de Programação)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</si>
  <si>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</si>
  <si>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</si>
  <si>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</si>
  <si>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</si>
  <si>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</si>
  <si>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</si>
  <si>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</si>
  <si>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</si>
  <si>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</si>
  <si>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</si>
  <si>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</si>
  <si>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</si>
  <si>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</si>
  <si>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</si>
  <si>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</si>
  <si>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</si>
  <si>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</si>
  <si>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</si>
  <si>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</si>
  <si>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</si>
  <si>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</si>
  <si>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</si>
  <si>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</si>
  <si>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</si>
  <si>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</si>
  <si>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Em intervalo para detecção ultrassom Sperry entre ZPT-ZPG</t>
  </si>
  <si>
    <t>Descarga de meia chave / Locomotiva Avariada</t>
  </si>
  <si>
    <t>Serviços de socaria mecanizada</t>
  </si>
  <si>
    <t>Rogério</t>
  </si>
  <si>
    <t>Edson</t>
  </si>
  <si>
    <t>Robson</t>
  </si>
  <si>
    <t>Substituição de trilho - Condicionado à temperatura</t>
  </si>
  <si>
    <t>Santinelli</t>
  </si>
  <si>
    <t>Substituição de trilho - Condicionado à temperatura (80m de rebatimento)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</si>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</sst>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W76" activePane="bottomRight" state="frozen"/>
      <selection pane="bottomRight" activeCell="AH87" sqref="AH8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5" t="s">
        <v>829</v>
      </c>
      <c r="AJ1" s="336"/>
      <c r="AK1" s="336"/>
      <c r="AL1" s="336"/>
      <c r="AM1" s="336"/>
      <c r="AN1" s="336"/>
      <c r="AO1" s="336"/>
      <c r="AP1" s="336"/>
      <c r="AQ1" s="336"/>
      <c r="AR1" s="337"/>
      <c r="AS1" s="337"/>
      <c r="AT1" s="337"/>
      <c r="AU1" s="337"/>
      <c r="AV1" s="337"/>
      <c r="AW1" s="337"/>
      <c r="AX1" s="336"/>
      <c r="AY1" s="336"/>
      <c r="AZ1" s="336"/>
      <c r="BA1" s="336"/>
      <c r="BB1" s="336"/>
      <c r="BC1" s="336"/>
      <c r="BD1" s="336"/>
      <c r="BE1" s="336"/>
      <c r="BF1" s="338"/>
      <c r="BG1" s="3"/>
      <c r="BH1" s="339" t="s">
        <v>830</v>
      </c>
      <c r="BI1" s="340"/>
      <c r="BJ1" s="341"/>
      <c r="BK1" s="342"/>
      <c r="BL1" s="50"/>
      <c r="BM1" s="332" t="s">
        <v>831</v>
      </c>
      <c r="BN1" s="333"/>
      <c r="BO1" s="333"/>
      <c r="BP1" s="333"/>
      <c r="BQ1" s="333"/>
      <c r="BR1" s="333"/>
      <c r="BS1" s="334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5" t="s">
        <v>832</v>
      </c>
      <c r="AJ2" s="336"/>
      <c r="AK2" s="336"/>
      <c r="AL2" s="336"/>
      <c r="AM2" s="336"/>
      <c r="AN2" s="336"/>
      <c r="AO2" s="336"/>
      <c r="AP2" s="336"/>
      <c r="AQ2" s="338"/>
      <c r="AR2" s="240"/>
      <c r="AS2" s="350" t="s">
        <v>835</v>
      </c>
      <c r="AT2" s="337"/>
      <c r="AU2" s="337"/>
      <c r="AV2" s="337"/>
      <c r="AW2" s="337"/>
      <c r="AX2" s="336"/>
      <c r="AY2" s="338"/>
      <c r="AZ2" s="4"/>
      <c r="BA2" s="329" t="s">
        <v>836</v>
      </c>
      <c r="BB2" s="331"/>
      <c r="BC2" s="335" t="s">
        <v>833</v>
      </c>
      <c r="BD2" s="336"/>
      <c r="BE2" s="336"/>
      <c r="BF2" s="338"/>
      <c r="BG2" s="3"/>
      <c r="BH2" s="343"/>
      <c r="BI2" s="344"/>
      <c r="BJ2" s="345"/>
      <c r="BK2" s="346"/>
      <c r="BL2" s="50"/>
      <c r="BM2" s="347"/>
      <c r="BN2" s="348"/>
      <c r="BO2" s="348"/>
      <c r="BP2" s="348"/>
      <c r="BQ2" s="348"/>
      <c r="BR2" s="348"/>
      <c r="BS2" s="349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9" t="s">
        <v>837</v>
      </c>
      <c r="AJ3" s="331"/>
      <c r="AK3" s="329" t="s">
        <v>838</v>
      </c>
      <c r="AL3" s="330"/>
      <c r="AM3" s="330"/>
      <c r="AN3" s="330"/>
      <c r="AO3" s="330"/>
      <c r="AP3" s="330"/>
      <c r="AQ3" s="331"/>
      <c r="AR3" s="241"/>
      <c r="AS3" s="353" t="s">
        <v>844</v>
      </c>
      <c r="AT3" s="354"/>
      <c r="AU3" s="353" t="s">
        <v>845</v>
      </c>
      <c r="AV3" s="354"/>
      <c r="AW3" s="353" t="s">
        <v>846</v>
      </c>
      <c r="AX3" s="355"/>
      <c r="AY3" s="64" t="s">
        <v>847</v>
      </c>
      <c r="AZ3" s="64"/>
      <c r="BA3" s="351"/>
      <c r="BB3" s="352"/>
      <c r="BC3" s="329" t="s">
        <v>840</v>
      </c>
      <c r="BD3" s="330"/>
      <c r="BE3" s="330"/>
      <c r="BF3" s="331"/>
      <c r="BG3" s="63"/>
      <c r="BH3" s="343"/>
      <c r="BI3" s="344"/>
      <c r="BJ3" s="345"/>
      <c r="BK3" s="346"/>
      <c r="BL3" s="50"/>
      <c r="BM3" s="332" t="s">
        <v>848</v>
      </c>
      <c r="BN3" s="333"/>
      <c r="BO3" s="333"/>
      <c r="BP3" s="334"/>
      <c r="BQ3" s="332" t="s">
        <v>466</v>
      </c>
      <c r="BR3" s="333"/>
      <c r="BS3" s="334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4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6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6" t="str">
        <f t="shared" si="6"/>
        <v>OKOK</v>
      </c>
    </row>
    <row r="56" spans="1:72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4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6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>MecânicaLocomotiva</v>
      </c>
    </row>
    <row r="57" spans="1:72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>
        <v>0.375</v>
      </c>
      <c r="AS57" s="39"/>
      <c r="AT57" s="39"/>
      <c r="AU57" s="39"/>
      <c r="AV57" s="39"/>
      <c r="AW57" s="39"/>
      <c r="AX57" s="39"/>
      <c r="AY57" s="294">
        <f t="shared" si="2"/>
        <v>0</v>
      </c>
      <c r="AZ57" s="14"/>
      <c r="BA57" s="72"/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1</v>
      </c>
      <c r="BI57" s="17"/>
      <c r="BJ57" s="17" t="s">
        <v>1055</v>
      </c>
      <c r="BK57" s="17" t="s">
        <v>1056</v>
      </c>
      <c r="BL57" s="16"/>
      <c r="BM57" s="15"/>
      <c r="BN57" s="15"/>
      <c r="BO57" s="166"/>
      <c r="BP57" s="17"/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/>
      </c>
    </row>
    <row r="58" spans="1:72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4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6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6" t="str">
        <f t="shared" si="6"/>
        <v>OKOK</v>
      </c>
    </row>
    <row r="59" spans="1:72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4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6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6" t="str">
        <f t="shared" si="6"/>
        <v>OKOK</v>
      </c>
    </row>
    <row r="60" spans="1:72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503</v>
      </c>
      <c r="G60" s="9" t="str">
        <f>IF(D60="","*",VLOOKUP(F60,BS_ATIVIDADE[#All],3,FALSE))</f>
        <v>DORMENTE - SUBSTITUIÇÂO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30</v>
      </c>
      <c r="R60" s="10" t="str">
        <f>IFERROR(_xlfn.XLOOKUP(F60, BS_ATIVIDADE[ATIVIDADE],BS_ATIVIDADE[UNIDADE] ), "*")</f>
        <v>Nº DE DORMENTES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">
        <v>460</v>
      </c>
      <c r="AJ60" s="9" t="str">
        <f>IF(D60="","*",VLOOKUP(AI60,BS_ATIVIDADE[#Data],3,FALSE))</f>
        <v>OUTROS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4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682</v>
      </c>
      <c r="BN60" s="15" t="s">
        <v>712</v>
      </c>
      <c r="BO60" s="166" t="s">
        <v>764</v>
      </c>
      <c r="BP60" s="17" t="s">
        <v>317</v>
      </c>
      <c r="BQ60" s="13" t="str">
        <f t="shared" si="3"/>
        <v>Produção</v>
      </c>
      <c r="BR60" s="19">
        <f t="shared" si="4"/>
        <v>1.333333333333333</v>
      </c>
      <c r="BS60" s="19">
        <f t="shared" si="5"/>
        <v>3.3333333333333333E-2</v>
      </c>
      <c r="BT60" s="226" t="str">
        <f t="shared" si="6"/>
        <v>SuperExecução</v>
      </c>
    </row>
    <row r="61" spans="1:72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4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6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>SuperEquipamento</v>
      </c>
    </row>
    <row r="62" spans="1:72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1065</v>
      </c>
      <c r="J62" s="218">
        <v>49</v>
      </c>
      <c r="K62" s="218">
        <v>185</v>
      </c>
      <c r="L62" s="84"/>
      <c r="M62" s="205" t="s">
        <v>1066</v>
      </c>
      <c r="N62" s="205" t="s">
        <v>1067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1068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294">
        <f t="shared" si="2"/>
        <v>0</v>
      </c>
      <c r="AZ64" s="14"/>
      <c r="BA64" s="72"/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1</v>
      </c>
      <c r="BI64" s="17"/>
      <c r="BJ64" s="17" t="s">
        <v>1063</v>
      </c>
      <c r="BK64" s="17" t="s">
        <v>1063</v>
      </c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294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1</v>
      </c>
      <c r="BI65" s="17"/>
      <c r="BJ65" s="17" t="s">
        <v>1063</v>
      </c>
      <c r="BK65" s="17" t="s">
        <v>1063</v>
      </c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1069</v>
      </c>
      <c r="J66" s="218">
        <v>92</v>
      </c>
      <c r="K66" s="218">
        <v>66.5</v>
      </c>
      <c r="L66" s="84" t="s">
        <v>317</v>
      </c>
      <c r="M66" s="205" t="s">
        <v>1070</v>
      </c>
      <c r="N66" s="205" t="s">
        <v>1071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4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1072</v>
      </c>
      <c r="BK66" s="17" t="s">
        <v>1073</v>
      </c>
      <c r="BL66" s="16"/>
      <c r="BM66" s="15" t="s">
        <v>686</v>
      </c>
      <c r="BN66" s="15" t="s">
        <v>686</v>
      </c>
      <c r="BO66" s="166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6" t="str">
        <f t="shared" si="6"/>
        <v>OKOK</v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1074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4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1075</v>
      </c>
      <c r="BK68" s="17" t="s">
        <v>1075</v>
      </c>
      <c r="BL68" s="16"/>
      <c r="BM68" s="15" t="s">
        <v>688</v>
      </c>
      <c r="BN68" s="15" t="s">
        <v>705</v>
      </c>
      <c r="BO68" s="166" t="s">
        <v>779</v>
      </c>
      <c r="BP68" s="17" t="s">
        <v>1075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>CondiçõesClimáticaTemperatura</v>
      </c>
    </row>
    <row r="69" spans="1:72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4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1075</v>
      </c>
      <c r="BK69" s="17" t="s">
        <v>1075</v>
      </c>
      <c r="BL69" s="16"/>
      <c r="BM69" s="15" t="s">
        <v>688</v>
      </c>
      <c r="BN69" s="15" t="s">
        <v>705</v>
      </c>
      <c r="BO69" s="166" t="s">
        <v>779</v>
      </c>
      <c r="BP69" s="17" t="s">
        <v>1075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>CondiçõesClimáticaTemperatura</v>
      </c>
    </row>
    <row r="70" spans="1:72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4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1075</v>
      </c>
      <c r="BK70" s="17" t="s">
        <v>1075</v>
      </c>
      <c r="BL70" s="16"/>
      <c r="BM70" s="15" t="s">
        <v>688</v>
      </c>
      <c r="BN70" s="15" t="s">
        <v>705</v>
      </c>
      <c r="BO70" s="166" t="s">
        <v>779</v>
      </c>
      <c r="BP70" s="17" t="s">
        <v>1075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1076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1077</v>
      </c>
      <c r="BK72" s="17" t="s">
        <v>1078</v>
      </c>
      <c r="BL72" s="16"/>
      <c r="BM72" s="15" t="s">
        <v>686</v>
      </c>
      <c r="BN72" s="15" t="s">
        <v>686</v>
      </c>
      <c r="BO72" s="166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>OKOK</v>
      </c>
    </row>
    <row r="73" spans="1:72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4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1079</v>
      </c>
      <c r="BK73" s="17" t="s">
        <v>1080</v>
      </c>
      <c r="BL73" s="16"/>
      <c r="BM73" s="15" t="s">
        <v>686</v>
      </c>
      <c r="BN73" s="15" t="s">
        <v>686</v>
      </c>
      <c r="BO73" s="166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6" t="str">
        <f t="shared" si="12"/>
        <v>OKOK</v>
      </c>
    </row>
    <row r="74" spans="1:72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4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1081</v>
      </c>
      <c r="BK74" s="17" t="s">
        <v>1082</v>
      </c>
      <c r="BL74" s="16"/>
      <c r="BM74" s="15" t="s">
        <v>688</v>
      </c>
      <c r="BN74" s="15" t="s">
        <v>705</v>
      </c>
      <c r="BO74" s="166" t="s">
        <v>804</v>
      </c>
      <c r="BP74" s="17" t="s">
        <v>1082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>CondiçõesClimáticaTemperatura</v>
      </c>
    </row>
    <row r="75" spans="1:72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4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1083</v>
      </c>
      <c r="BK75" s="17" t="s">
        <v>1084</v>
      </c>
      <c r="BL75" s="16"/>
      <c r="BM75" s="15" t="s">
        <v>692</v>
      </c>
      <c r="BN75" s="15" t="s">
        <v>692</v>
      </c>
      <c r="BO75" s="166" t="s">
        <v>692</v>
      </c>
      <c r="BP75" s="17" t="s">
        <v>1084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>SemOportunidadeSemOportunidade</v>
      </c>
    </row>
    <row r="76" spans="1:72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4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1085</v>
      </c>
      <c r="BK76" s="17" t="s">
        <v>1086</v>
      </c>
      <c r="BL76" s="16"/>
      <c r="BM76" s="15" t="s">
        <v>679</v>
      </c>
      <c r="BN76" s="15" t="s">
        <v>700</v>
      </c>
      <c r="BO76" s="166" t="s">
        <v>768</v>
      </c>
      <c r="BP76" s="17" t="s">
        <v>1086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>PCMVIARecursosInternos</v>
      </c>
    </row>
    <row r="77" spans="1:72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4">
        <f t="shared" si="8"/>
        <v>4.1666666666666664E-2</v>
      </c>
      <c r="AZ77" s="14"/>
      <c r="BA77" s="72"/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1</v>
      </c>
      <c r="BI77" s="17"/>
      <c r="BJ77" s="17" t="s">
        <v>1087</v>
      </c>
      <c r="BK77" s="17" t="s">
        <v>1088</v>
      </c>
      <c r="BL77" s="16"/>
      <c r="BM77" s="15" t="s">
        <v>686</v>
      </c>
      <c r="BN77" s="15" t="s">
        <v>686</v>
      </c>
      <c r="BO77" s="166" t="s">
        <v>686</v>
      </c>
      <c r="BP77" s="17" t="s">
        <v>317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6" t="str">
        <f t="shared" si="12"/>
        <v>OKOK</v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317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>W5945995</v>
      </c>
      <c r="B80" s="172">
        <v>45995</v>
      </c>
      <c r="C80" s="8">
        <f>IF(BS_CONTROLE[[#This Row],[DATA]]="","",WEEKNUM(BS_CONTROLE[[#This Row],[DATA]]))</f>
        <v>49</v>
      </c>
      <c r="D80" s="321" t="s">
        <v>537</v>
      </c>
      <c r="E80" s="315">
        <v>171</v>
      </c>
      <c r="F80" s="71" t="s">
        <v>460</v>
      </c>
      <c r="G80" s="9" t="str">
        <f>IF(D80="","*",VLOOKUP(F80,BS_ATIVIDADE[#All],3,FALSE))</f>
        <v>OUTROS</v>
      </c>
      <c r="H80" s="174" t="s">
        <v>102</v>
      </c>
      <c r="I80" s="174" t="s">
        <v>102</v>
      </c>
      <c r="J80" s="218">
        <v>49</v>
      </c>
      <c r="K80" s="218">
        <v>240.89</v>
      </c>
      <c r="L80" s="84">
        <v>198.4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4">
        <v>0.375</v>
      </c>
      <c r="P80" s="174">
        <v>8.3333333333333329E-2</v>
      </c>
      <c r="Q80" s="84">
        <v>480</v>
      </c>
      <c r="R80" s="10" t="str">
        <f>IFERROR(_xlfn.XLOOKUP(F80, BS_ATIVIDADE[ATIVIDADE],BS_ATIVIDADE[UNIDADE] ), "*")</f>
        <v>BINÁRIO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2" t="s">
        <v>920</v>
      </c>
      <c r="W80" s="262" t="s">
        <v>1089</v>
      </c>
      <c r="X80" s="219" t="s">
        <v>662</v>
      </c>
      <c r="Y80" s="159"/>
      <c r="Z80" s="159" t="s">
        <v>669</v>
      </c>
      <c r="AA80" s="218">
        <v>1</v>
      </c>
      <c r="AB80" s="71" t="s">
        <v>653</v>
      </c>
      <c r="AC80" s="71" t="s">
        <v>648</v>
      </c>
      <c r="AD80" s="317">
        <v>0.33333333333333331</v>
      </c>
      <c r="AE80" s="218">
        <v>9347</v>
      </c>
      <c r="AF80" s="218" t="s">
        <v>317</v>
      </c>
      <c r="AG80" s="218" t="s">
        <v>317</v>
      </c>
      <c r="AH80" s="49"/>
      <c r="AI80" s="143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9" t="str">
        <f>IF(BS_CONTROLE[[#This Row],[Local - Partida]]=0, "-", BS_CONTROLE[[#This Row],[Local - Partida]])</f>
        <v>ZYU1</v>
      </c>
      <c r="AL80" s="259" t="str">
        <f>IF(BS_CONTROLE[[#This Row],[Local - Encerramento]]=0, "-", BS_CONTROLE[[#This Row],[Local - Encerramento]])</f>
        <v>ZYU1</v>
      </c>
      <c r="AM80" s="259" t="str">
        <f>IF(BS_CONTROLE[[#This Row],[Entre - Estações]]=0, "-", BS_CONTROLE[[#This Row],[Entre - Estações]])</f>
        <v>ZDS-ZQB</v>
      </c>
      <c r="AN80" s="259" t="str">
        <f>IF(BS_CONTROLE[[#This Row],[SB]]=0, "-", BS_CONTROLE[[#This Row],[SB]])</f>
        <v>ZDS2481</v>
      </c>
      <c r="AO80" s="260">
        <f>IF(BS_CONTROLE[[#This Row],[SUB]]=0, "-", BS_CONTROLE[[#This Row],[SUB]])</f>
        <v>49</v>
      </c>
      <c r="AP80" s="261">
        <f>IF(BS_CONTROLE[[#This Row],[KM - Inicio]]=0, "-", BS_CONTROLE[[#This Row],[KM - Inicio]])</f>
        <v>240.89</v>
      </c>
      <c r="AQ80" s="261">
        <f>IF(BS_CONTROLE[[#This Row],[KM - Fim]]=0, "-", BS_CONTROLE[[#This Row],[KM - Fim]])</f>
        <v>198.4</v>
      </c>
      <c r="AR80" s="39"/>
      <c r="AS80" s="39"/>
      <c r="AT80" s="39"/>
      <c r="AU80" s="39"/>
      <c r="AV80" s="39"/>
      <c r="AW80" s="39"/>
      <c r="AX80" s="39"/>
      <c r="AY80" s="294">
        <f t="shared" si="8"/>
        <v>0</v>
      </c>
      <c r="AZ80" s="14"/>
      <c r="BA80" s="72"/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2" t="str">
        <f>IF(BS_CONTROLE[[#This Row],[Responsavel pelo boletim]]=0, "-", BS_CONTROLE[[#This Row],[Responsavel pelo boletim]])</f>
        <v>Jonas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6" t="str">
        <f t="shared" si="12"/>
        <v/>
      </c>
    </row>
    <row r="81" spans="1:72">
      <c r="A81" s="51" t="str">
        <f t="shared" si="7"/>
        <v>V8945995</v>
      </c>
      <c r="B81" s="172">
        <v>45995</v>
      </c>
      <c r="C81" s="8">
        <f>IF(BS_CONTROLE[[#This Row],[DATA]]="","",WEEKNUM(BS_CONTROLE[[#This Row],[DATA]]))</f>
        <v>49</v>
      </c>
      <c r="D81" s="321" t="s">
        <v>523</v>
      </c>
      <c r="E81" s="315">
        <v>171</v>
      </c>
      <c r="F81" s="71" t="s">
        <v>422</v>
      </c>
      <c r="G81" s="9" t="str">
        <f>IF(D81="","*",VLOOKUP(F81,BS_ATIVIDADE[#All],3,FALSE))</f>
        <v>MECANIZAÇÃO - SOCADORA</v>
      </c>
      <c r="H81" s="174" t="s">
        <v>102</v>
      </c>
      <c r="I81" s="174" t="s">
        <v>102</v>
      </c>
      <c r="J81" s="218">
        <v>49</v>
      </c>
      <c r="K81" s="218">
        <v>225</v>
      </c>
      <c r="L81" s="84">
        <v>224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4">
        <v>0.39583333333333331</v>
      </c>
      <c r="P81" s="174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2" t="s">
        <v>924</v>
      </c>
      <c r="W81" s="262" t="s">
        <v>1090</v>
      </c>
      <c r="X81" s="219" t="s">
        <v>657</v>
      </c>
      <c r="Y81" s="159"/>
      <c r="Z81" s="159" t="s">
        <v>658</v>
      </c>
      <c r="AA81" s="218">
        <v>1</v>
      </c>
      <c r="AB81" s="71" t="s">
        <v>653</v>
      </c>
      <c r="AC81" s="71" t="s">
        <v>648</v>
      </c>
      <c r="AD81" s="317">
        <v>0.33333333333333331</v>
      </c>
      <c r="AE81" s="218">
        <v>6809</v>
      </c>
      <c r="AF81" s="218">
        <v>6239</v>
      </c>
      <c r="AG81" s="218" t="s">
        <v>317</v>
      </c>
      <c r="AH81" s="49"/>
      <c r="AI81" s="143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9" t="str">
        <f>IF(BS_CONTROLE[[#This Row],[Local - Partida]]=0, "-", BS_CONTROLE[[#This Row],[Local - Partida]])</f>
        <v>ZYU1</v>
      </c>
      <c r="AL81" s="259" t="str">
        <f>IF(BS_CONTROLE[[#This Row],[Local - Encerramento]]=0, "-", BS_CONTROLE[[#This Row],[Local - Encerramento]])</f>
        <v>ZYU1</v>
      </c>
      <c r="AM81" s="259" t="str">
        <f>IF(BS_CONTROLE[[#This Row],[Entre - Estações]]=0, "-", BS_CONTROLE[[#This Row],[Entre - Estações]])</f>
        <v>ZXI-ZVK</v>
      </c>
      <c r="AN81" s="259" t="str">
        <f>IF(BS_CONTROLE[[#This Row],[SB]]=0, "-", BS_CONTROLE[[#This Row],[SB]])</f>
        <v>224ZIC1</v>
      </c>
      <c r="AO81" s="260">
        <f>IF(BS_CONTROLE[[#This Row],[SUB]]=0, "-", BS_CONTROLE[[#This Row],[SUB]])</f>
        <v>49</v>
      </c>
      <c r="AP81" s="261">
        <f>IF(BS_CONTROLE[[#This Row],[KM - Inicio]]=0, "-", BS_CONTROLE[[#This Row],[KM - Inicio]])</f>
        <v>225</v>
      </c>
      <c r="AQ81" s="261">
        <f>IF(BS_CONTROLE[[#This Row],[KM - Fim]]=0, "-", BS_CONTROLE[[#This Row],[KM - Fim]])</f>
        <v>224</v>
      </c>
      <c r="AR81" s="39"/>
      <c r="AS81" s="39"/>
      <c r="AT81" s="39"/>
      <c r="AU81" s="39"/>
      <c r="AV81" s="39"/>
      <c r="AW81" s="39"/>
      <c r="AX81" s="39"/>
      <c r="AY81" s="294">
        <f t="shared" si="8"/>
        <v>0</v>
      </c>
      <c r="AZ81" s="14"/>
      <c r="BA81" s="72"/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2" t="str">
        <f>IF(BS_CONTROLE[[#This Row],[Responsavel pelo boletim]]=0, "-", BS_CONTROLE[[#This Row],[Responsavel pelo boletim]])</f>
        <v>Saulo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6" t="str">
        <f t="shared" si="12"/>
        <v/>
      </c>
    </row>
    <row r="82" spans="1:72">
      <c r="A82" s="51" t="str">
        <f t="shared" si="7"/>
        <v>ROGÉRIO (TP-730)45995</v>
      </c>
      <c r="B82" s="172">
        <v>45995</v>
      </c>
      <c r="C82" s="8">
        <f>IF(BS_CONTROLE[[#This Row],[DATA]]="","",WEEKNUM(BS_CONTROLE[[#This Row],[DATA]]))</f>
        <v>49</v>
      </c>
      <c r="D82" s="52" t="s">
        <v>633</v>
      </c>
      <c r="E82" s="296">
        <v>77</v>
      </c>
      <c r="F82" s="173" t="s">
        <v>503</v>
      </c>
      <c r="G82" s="9" t="str">
        <f>IF(D82="","*",VLOOKUP(F82,BS_ATIVIDADE[#All],3,FALSE))</f>
        <v>DORMENTE - SUBSTITUIÇÂO</v>
      </c>
      <c r="H82" s="174" t="s">
        <v>317</v>
      </c>
      <c r="I82" s="174" t="s">
        <v>317</v>
      </c>
      <c r="J82" s="218">
        <v>49</v>
      </c>
      <c r="K82" s="218">
        <v>203.5</v>
      </c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4">
        <v>0.41666666666666669</v>
      </c>
      <c r="P82" s="174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2" t="s">
        <v>1091</v>
      </c>
      <c r="W82" s="174" t="s">
        <v>931</v>
      </c>
      <c r="X82" s="219" t="s">
        <v>662</v>
      </c>
      <c r="Y82" s="159"/>
      <c r="Z82" s="159" t="s">
        <v>663</v>
      </c>
      <c r="AA82" s="84" t="s">
        <v>317</v>
      </c>
      <c r="AB82" s="71" t="s">
        <v>317</v>
      </c>
      <c r="AC82" s="71" t="s">
        <v>317</v>
      </c>
      <c r="AD82" s="174" t="s">
        <v>317</v>
      </c>
      <c r="AE82" s="84" t="s">
        <v>317</v>
      </c>
      <c r="AF82" s="84" t="s">
        <v>317</v>
      </c>
      <c r="AG82" s="84" t="s">
        <v>317</v>
      </c>
      <c r="AH82" s="49"/>
      <c r="AI82" s="143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ZYU</v>
      </c>
      <c r="AN82" s="259" t="str">
        <f>IF(BS_CONTROLE[[#This Row],[SB]]=0, "-", BS_CONTROLE[[#This Row],[SB]])</f>
        <v>ZYU1</v>
      </c>
      <c r="AO82" s="260">
        <f>IF(BS_CONTROLE[[#This Row],[SUB]]=0, "-", BS_CONTROLE[[#This Row],[SUB]])</f>
        <v>49</v>
      </c>
      <c r="AP82" s="261">
        <f>IF(BS_CONTROLE[[#This Row],[KM - Inicio]]=0, "-", BS_CONTROLE[[#This Row],[KM - Inicio]])</f>
        <v>203.5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>
        <f t="shared" si="8"/>
        <v>0</v>
      </c>
      <c r="AZ82" s="14"/>
      <c r="BA82" s="72"/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2" t="str">
        <f>IF(BS_CONTROLE[[#This Row],[Responsavel pelo boletim]]=0, "-", BS_CONTROLE[[#This Row],[Responsavel pelo boletim]])</f>
        <v>Rogério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Produção e Intervalo</v>
      </c>
      <c r="BR82" s="19">
        <f t="shared" si="10"/>
        <v>0</v>
      </c>
      <c r="BS82" s="19">
        <f t="shared" si="11"/>
        <v>0</v>
      </c>
      <c r="BT82" s="226" t="str">
        <f t="shared" si="12"/>
        <v/>
      </c>
    </row>
    <row r="83" spans="1:72">
      <c r="A83" s="51" t="str">
        <f t="shared" si="7"/>
        <v>EDSON (TP-780)45995</v>
      </c>
      <c r="B83" s="172">
        <v>45995</v>
      </c>
      <c r="C83" s="8">
        <f>IF(BS_CONTROLE[[#This Row],[DATA]]="","",WEEKNUM(BS_CONTROLE[[#This Row],[DATA]]))</f>
        <v>49</v>
      </c>
      <c r="D83" s="52" t="s">
        <v>585</v>
      </c>
      <c r="E83" s="295">
        <v>78</v>
      </c>
      <c r="F83" s="173" t="s">
        <v>503</v>
      </c>
      <c r="G83" s="9" t="str">
        <f>IF(D83="","*",VLOOKUP(F83,BS_ATIVIDADE[#All],3,FALSE))</f>
        <v>DORMENTE - SUBSTITUIÇÂO</v>
      </c>
      <c r="H83" s="174" t="s">
        <v>317</v>
      </c>
      <c r="I83" s="174" t="s">
        <v>317</v>
      </c>
      <c r="J83" s="218">
        <v>49</v>
      </c>
      <c r="K83" s="218">
        <v>203.5</v>
      </c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4">
        <v>0.41666666666666669</v>
      </c>
      <c r="P83" s="174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2" t="s">
        <v>1092</v>
      </c>
      <c r="W83" s="174" t="s">
        <v>931</v>
      </c>
      <c r="X83" s="219" t="s">
        <v>662</v>
      </c>
      <c r="Y83" s="159"/>
      <c r="Z83" s="159" t="s">
        <v>663</v>
      </c>
      <c r="AA83" s="84" t="s">
        <v>317</v>
      </c>
      <c r="AB83" s="71" t="s">
        <v>317</v>
      </c>
      <c r="AC83" s="71" t="s">
        <v>317</v>
      </c>
      <c r="AD83" s="174" t="s">
        <v>317</v>
      </c>
      <c r="AE83" s="84" t="s">
        <v>317</v>
      </c>
      <c r="AF83" s="84" t="s">
        <v>317</v>
      </c>
      <c r="AG83" s="84" t="s">
        <v>317</v>
      </c>
      <c r="AH83" s="49"/>
      <c r="AI83" s="143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ZYU</v>
      </c>
      <c r="AN83" s="259" t="str">
        <f>IF(BS_CONTROLE[[#This Row],[SB]]=0, "-", BS_CONTROLE[[#This Row],[SB]])</f>
        <v>ZYU1</v>
      </c>
      <c r="AO83" s="260">
        <f>IF(BS_CONTROLE[[#This Row],[SUB]]=0, "-", BS_CONTROLE[[#This Row],[SUB]])</f>
        <v>49</v>
      </c>
      <c r="AP83" s="261">
        <f>IF(BS_CONTROLE[[#This Row],[KM - Inicio]]=0, "-", BS_CONTROLE[[#This Row],[KM - Inicio]])</f>
        <v>203.5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>
        <f t="shared" si="8"/>
        <v>0</v>
      </c>
      <c r="AZ83" s="14"/>
      <c r="BA83" s="72"/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2" t="str">
        <f>IF(BS_CONTROLE[[#This Row],[Responsavel pelo boletim]]=0, "-", BS_CONTROLE[[#This Row],[Responsavel pelo boletim]])</f>
        <v>Edson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6" t="str">
        <f t="shared" si="12"/>
        <v/>
      </c>
    </row>
    <row r="84" spans="1:72">
      <c r="A84" s="51" t="str">
        <f t="shared" si="7"/>
        <v>ROBSON (TP-729)45995</v>
      </c>
      <c r="B84" s="172">
        <v>45995</v>
      </c>
      <c r="C84" s="8">
        <f>IF(BS_CONTROLE[[#This Row],[DATA]]="","",WEEKNUM(BS_CONTROLE[[#This Row],[DATA]]))</f>
        <v>49</v>
      </c>
      <c r="D84" s="52" t="s">
        <v>632</v>
      </c>
      <c r="E84" s="295">
        <v>79</v>
      </c>
      <c r="F84" s="173" t="s">
        <v>395</v>
      </c>
      <c r="G84" s="9" t="str">
        <f>IF(D84="","*",VLOOKUP(F84,BS_ATIVIDADE[#All],3,FALSE))</f>
        <v>LIMPEZA LASTRO</v>
      </c>
      <c r="H84" s="174" t="s">
        <v>317</v>
      </c>
      <c r="I84" s="174" t="s">
        <v>317</v>
      </c>
      <c r="J84" s="218">
        <v>56</v>
      </c>
      <c r="K84" s="218">
        <v>195.5</v>
      </c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4">
        <v>0.41666666666666669</v>
      </c>
      <c r="P84" s="174">
        <v>6.25E-2</v>
      </c>
      <c r="Q84" s="84">
        <v>20</v>
      </c>
      <c r="R84" s="10" t="str">
        <f>IFERROR(_xlfn.XLOOKUP(F84, BS_ATIVIDADE[ATIVIDADE],BS_ATIVIDADE[UNIDADE] ), "*")</f>
        <v>M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2" t="s">
        <v>1093</v>
      </c>
      <c r="W84" s="174" t="s">
        <v>928</v>
      </c>
      <c r="X84" s="219" t="s">
        <v>662</v>
      </c>
      <c r="Y84" s="159"/>
      <c r="Z84" s="159" t="s">
        <v>667</v>
      </c>
      <c r="AA84" s="84" t="s">
        <v>317</v>
      </c>
      <c r="AB84" s="71" t="s">
        <v>317</v>
      </c>
      <c r="AC84" s="71" t="s">
        <v>317</v>
      </c>
      <c r="AD84" s="174" t="s">
        <v>317</v>
      </c>
      <c r="AE84" s="84" t="s">
        <v>317</v>
      </c>
      <c r="AF84" s="84" t="s">
        <v>317</v>
      </c>
      <c r="AG84" s="84" t="s">
        <v>317</v>
      </c>
      <c r="AH84" s="49"/>
      <c r="AI84" s="143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ZFY</v>
      </c>
      <c r="AN84" s="259" t="str">
        <f>IF(BS_CONTROLE[[#This Row],[SB]]=0, "-", BS_CONTROLE[[#This Row],[SB]])</f>
        <v>ZFY1982</v>
      </c>
      <c r="AO84" s="260">
        <f>IF(BS_CONTROLE[[#This Row],[SUB]]=0, "-", BS_CONTROLE[[#This Row],[SUB]])</f>
        <v>56</v>
      </c>
      <c r="AP84" s="261">
        <f>IF(BS_CONTROLE[[#This Row],[KM - Inicio]]=0, "-", BS_CONTROLE[[#This Row],[KM - Inicio]])</f>
        <v>195.5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>
        <f t="shared" si="8"/>
        <v>0</v>
      </c>
      <c r="AZ84" s="14"/>
      <c r="BA84" s="72"/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2" t="str">
        <f>IF(BS_CONTROLE[[#This Row],[Responsavel pelo boletim]]=0, "-", BS_CONTROLE[[#This Row],[Responsavel pelo boletim]])</f>
        <v>Robson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6" t="str">
        <f t="shared" si="12"/>
        <v/>
      </c>
    </row>
    <row r="85" spans="1:72">
      <c r="A85" s="51" t="str">
        <f t="shared" si="7"/>
        <v>ROBSON (TF-701)45995</v>
      </c>
      <c r="B85" s="172">
        <v>45995</v>
      </c>
      <c r="C85" s="8">
        <f>IF(BS_CONTROLE[[#This Row],[DATA]]="","",WEEKNUM(BS_CONTROLE[[#This Row],[DATA]]))</f>
        <v>49</v>
      </c>
      <c r="D85" s="52" t="s">
        <v>631</v>
      </c>
      <c r="E85" s="295">
        <v>80</v>
      </c>
      <c r="F85" s="173" t="s">
        <v>506</v>
      </c>
      <c r="G85" s="9" t="str">
        <f>IF(D85="","*",VLOOKUP(F85,BS_ATIVIDADE[#All],3,FALSE))</f>
        <v>TRILHO - SUBSTITUIÇÂO</v>
      </c>
      <c r="H85" s="174" t="s">
        <v>317</v>
      </c>
      <c r="I85" s="174" t="s">
        <v>317</v>
      </c>
      <c r="J85" s="218">
        <v>61</v>
      </c>
      <c r="K85" s="218">
        <v>73.900000000000006</v>
      </c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4">
        <v>0.41666666666666669</v>
      </c>
      <c r="P85" s="174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2" t="s">
        <v>920</v>
      </c>
      <c r="W85" s="174" t="s">
        <v>1094</v>
      </c>
      <c r="X85" s="219" t="s">
        <v>662</v>
      </c>
      <c r="Y85" s="159"/>
      <c r="Z85" s="159" t="s">
        <v>668</v>
      </c>
      <c r="AA85" s="84" t="s">
        <v>317</v>
      </c>
      <c r="AB85" s="71" t="s">
        <v>317</v>
      </c>
      <c r="AC85" s="71" t="s">
        <v>317</v>
      </c>
      <c r="AD85" s="174" t="s">
        <v>317</v>
      </c>
      <c r="AE85" s="84" t="s">
        <v>317</v>
      </c>
      <c r="AF85" s="84" t="s">
        <v>317</v>
      </c>
      <c r="AG85" s="84" t="s">
        <v>317</v>
      </c>
      <c r="AH85" s="49"/>
      <c r="AI85" s="143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ZPS-ZAL</v>
      </c>
      <c r="AN85" s="259" t="str">
        <f>IF(BS_CONTROLE[[#This Row],[SB]]=0, "-", BS_CONTROLE[[#This Row],[SB]])</f>
        <v>ZPS075</v>
      </c>
      <c r="AO85" s="260">
        <f>IF(BS_CONTROLE[[#This Row],[SUB]]=0, "-", BS_CONTROLE[[#This Row],[SUB]])</f>
        <v>61</v>
      </c>
      <c r="AP85" s="261">
        <f>IF(BS_CONTROLE[[#This Row],[KM - Inicio]]=0, "-", BS_CONTROLE[[#This Row],[KM - Inicio]])</f>
        <v>73.900000000000006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>
        <f t="shared" si="8"/>
        <v>0</v>
      </c>
      <c r="AZ85" s="14"/>
      <c r="BA85" s="72"/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2" t="str">
        <f>IF(BS_CONTROLE[[#This Row],[Responsavel pelo boletim]]=0, "-", BS_CONTROLE[[#This Row],[Responsavel pelo boletim]])</f>
        <v>Jonas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2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>GEOVANIO (TF-675)45995</v>
      </c>
      <c r="B87" s="172">
        <v>45995</v>
      </c>
      <c r="C87" s="8">
        <f>IF(BS_CONTROLE[[#This Row],[DATA]]="","",WEEKNUM(BS_CONTROLE[[#This Row],[DATA]]))</f>
        <v>49</v>
      </c>
      <c r="D87" s="52" t="s">
        <v>593</v>
      </c>
      <c r="E87" s="295">
        <v>82</v>
      </c>
      <c r="F87" s="173" t="s">
        <v>506</v>
      </c>
      <c r="G87" s="9" t="str">
        <f>IF(D87="","*",VLOOKUP(F87,BS_ATIVIDADE[#All],3,FALSE))</f>
        <v>TRILHO - SUBSTITUIÇÂO</v>
      </c>
      <c r="H87" s="205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4" t="s">
        <v>317</v>
      </c>
      <c r="J87" s="218">
        <v>48</v>
      </c>
      <c r="K87" s="218">
        <v>88.68</v>
      </c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4">
        <v>0.41666666666666669</v>
      </c>
      <c r="P87" s="174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2" t="s">
        <v>1095</v>
      </c>
      <c r="W87" s="174" t="s">
        <v>1096</v>
      </c>
      <c r="X87" s="219" t="s">
        <v>662</v>
      </c>
      <c r="Y87" s="159"/>
      <c r="Z87" s="159"/>
      <c r="AA87" s="84" t="s">
        <v>317</v>
      </c>
      <c r="AB87" s="71" t="s">
        <v>317</v>
      </c>
      <c r="AC87" s="71" t="s">
        <v>317</v>
      </c>
      <c r="AD87" s="174" t="s">
        <v>317</v>
      </c>
      <c r="AE87" s="84" t="s">
        <v>317</v>
      </c>
      <c r="AF87" s="84" t="s">
        <v>317</v>
      </c>
      <c r="AG87" s="84" t="s">
        <v>317</v>
      </c>
      <c r="AH87" s="49"/>
      <c r="AI87" s="143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9" t="str">
        <f>IF(BS_CONTROLE[[#This Row],[Local - Partida]]=0, "-", BS_CONTROLE[[#This Row],[Local - Partida]])</f>
        <v>K91ZWW1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ZWW-ZKW</v>
      </c>
      <c r="AN87" s="259" t="str">
        <f>IF(BS_CONTROLE[[#This Row],[SB]]=0, "-", BS_CONTROLE[[#This Row],[SB]])</f>
        <v>K91ZWW1</v>
      </c>
      <c r="AO87" s="260">
        <f>IF(BS_CONTROLE[[#This Row],[SUB]]=0, "-", BS_CONTROLE[[#This Row],[SUB]])</f>
        <v>48</v>
      </c>
      <c r="AP87" s="261">
        <f>IF(BS_CONTROLE[[#This Row],[KM - Inicio]]=0, "-", BS_CONTROLE[[#This Row],[KM - Inicio]])</f>
        <v>88.68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>
        <f t="shared" si="8"/>
        <v>0</v>
      </c>
      <c r="AZ87" s="14"/>
      <c r="BA87" s="72"/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2" t="str">
        <f>IF(BS_CONTROLE[[#This Row],[Responsavel pelo boletim]]=0, "-", BS_CONTROLE[[#This Row],[Responsavel pelo boletim]])</f>
        <v>Santinelli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6" t="str">
        <f t="shared" si="12"/>
        <v/>
      </c>
    </row>
    <row r="88" spans="1:72">
      <c r="A88" s="51" t="str">
        <f t="shared" si="7"/>
        <v>45995</v>
      </c>
      <c r="B88" s="172">
        <v>45995</v>
      </c>
      <c r="C88" s="8">
        <f>IF(BS_CONTROLE[[#This Row],[DATA]]="","",WEEKNUM(BS_CONTROLE[[#This Row],[DATA]]))</f>
        <v>49</v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2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>45995</v>
      </c>
      <c r="B89" s="172">
        <v>45995</v>
      </c>
      <c r="C89" s="8">
        <f>IF(BS_CONTROLE[[#This Row],[DATA]]="","",WEEKNUM(BS_CONTROLE[[#This Row],[DATA]]))</f>
        <v>49</v>
      </c>
      <c r="D89" s="52"/>
      <c r="E89" s="295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BASE_MAPA!$D$2:$D$260, BASE_MAPA!$I$2:$I$260), "ERRO")</f>
        <v>ERRO</v>
      </c>
      <c r="V89" s="262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59" t="str">
        <f>IF(BS_CONTROLE[[#This Row],[Local - Partida]]=0, "-", BS_CONTROLE[[#This Row],[Local - Partida]])</f>
        <v>-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-</v>
      </c>
      <c r="AN89" s="259" t="str">
        <f>IF(BS_CONTROLE[[#This Row],[SB]]=0, "-", BS_CONTROLE[[#This Row],[SB]])</f>
        <v>-</v>
      </c>
      <c r="AO89" s="260" t="str">
        <f>IF(BS_CONTROLE[[#This Row],[SUB]]=0, "-", BS_CONTROLE[[#This Row],[SUB]])</f>
        <v>-</v>
      </c>
      <c r="AP89" s="261" t="str">
        <f>IF(BS_CONTROLE[[#This Row],[KM - Inicio]]=0, "-", BS_CONTROLE[[#This Row],[KM - Inicio]])</f>
        <v>-</v>
      </c>
      <c r="AQ89" s="261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294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BASE_MAPA!$D$2:$D$260, BASE_MAPA!$I$2:$I$260), "ERRO")</f>
        <v>ERRO</v>
      </c>
      <c r="BF89" s="262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>
      <c r="A90" s="51" t="str">
        <f t="shared" si="7"/>
        <v>45995</v>
      </c>
      <c r="B90" s="172">
        <v>45995</v>
      </c>
      <c r="C90" s="8">
        <f>IF(BS_CONTROLE[[#This Row],[DATA]]="","",WEEKNUM(BS_CONTROLE[[#This Row],[DATA]]))</f>
        <v>49</v>
      </c>
      <c r="D90" s="52"/>
      <c r="E90" s="295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BASE_MAPA!$D$2:$D$260, BASE_MAPA!$I$2:$I$260), "ERRO")</f>
        <v>ERRO</v>
      </c>
      <c r="V90" s="262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59" t="str">
        <f>IF(BS_CONTROLE[[#This Row],[Local - Partida]]=0, "-", BS_CONTROLE[[#This Row],[Local - Partida]])</f>
        <v>-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-</v>
      </c>
      <c r="AN90" s="259" t="str">
        <f>IF(BS_CONTROLE[[#This Row],[SB]]=0, "-", BS_CONTROLE[[#This Row],[SB]])</f>
        <v>-</v>
      </c>
      <c r="AO90" s="260" t="str">
        <f>IF(BS_CONTROLE[[#This Row],[SUB]]=0, "-", BS_CONTROLE[[#This Row],[SUB]])</f>
        <v>-</v>
      </c>
      <c r="AP90" s="261" t="str">
        <f>IF(BS_CONTROLE[[#This Row],[KM - Inicio]]=0, "-", BS_CONTROLE[[#This Row],[KM - Inicio]])</f>
        <v>-</v>
      </c>
      <c r="AQ90" s="261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294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BASE_MAPA!$D$2:$D$260, BASE_MAPA!$I$2:$I$260), "ERRO")</f>
        <v>ERRO</v>
      </c>
      <c r="BF90" s="262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295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BASE_MAPA!$D$2:$D$260, BASE_MAPA!$I$2:$I$260), "ERRO")</f>
        <v>ERRO</v>
      </c>
      <c r="V91" s="262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59" t="str">
        <f>IF(BS_CONTROLE[[#This Row],[Local - Partida]]=0, "-", BS_CONTROLE[[#This Row],[Local - Partida]])</f>
        <v>-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-</v>
      </c>
      <c r="AN91" s="259" t="str">
        <f>IF(BS_CONTROLE[[#This Row],[SB]]=0, "-", BS_CONTROLE[[#This Row],[SB]])</f>
        <v>-</v>
      </c>
      <c r="AO91" s="260" t="str">
        <f>IF(BS_CONTROLE[[#This Row],[SUB]]=0, "-", BS_CONTROLE[[#This Row],[SUB]])</f>
        <v>-</v>
      </c>
      <c r="AP91" s="261" t="str">
        <f>IF(BS_CONTROLE[[#This Row],[KM - Inicio]]=0, "-", BS_CONTROLE[[#This Row],[KM - Inicio]])</f>
        <v>-</v>
      </c>
      <c r="AQ91" s="261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294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BASE_MAPA!$D$2:$D$260, BASE_MAPA!$I$2:$I$260), "ERRO")</f>
        <v>ERRO</v>
      </c>
      <c r="BF91" s="262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2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295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317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BASE_MAPA!$D$2:$D$260, BASE_MAPA!$I$2:$I$260), "ERRO")</f>
        <v>ERRO</v>
      </c>
      <c r="V93" s="262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59" t="str">
        <f>IF(BS_CONTROLE[[#This Row],[Local - Partida]]=0, "-", BS_CONTROLE[[#This Row],[Local - Partida]])</f>
        <v>-</v>
      </c>
      <c r="AL93" s="259" t="str">
        <f>IF(BS_CONTROLE[[#This Row],[Local - Encerramento]]=0, "-", BS_CONTROLE[[#This Row],[Local - Encerramento]])</f>
        <v>-</v>
      </c>
      <c r="AM93" s="259" t="str">
        <f>IF(BS_CONTROLE[[#This Row],[Entre - Estações]]=0, "-", BS_CONTROLE[[#This Row],[Entre - Estações]])</f>
        <v>-</v>
      </c>
      <c r="AN93" s="259" t="str">
        <f>IF(BS_CONTROLE[[#This Row],[SB]]=0, "-", BS_CONTROLE[[#This Row],[SB]])</f>
        <v>-</v>
      </c>
      <c r="AO93" s="260" t="str">
        <f>IF(BS_CONTROLE[[#This Row],[SUB]]=0, "-", BS_CONTROLE[[#This Row],[SUB]])</f>
        <v>-</v>
      </c>
      <c r="AP93" s="261" t="str">
        <f>IF(BS_CONTROLE[[#This Row],[KM - Inicio]]=0, "-", BS_CONTROLE[[#This Row],[KM - Inicio]])</f>
        <v>-</v>
      </c>
      <c r="AQ93" s="261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294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BASE_MAPA!$D$2:$D$260, BASE_MAPA!$I$2:$I$260), "ERRO")</f>
        <v>ERRO</v>
      </c>
      <c r="BF93" s="262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296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BASE_MAPA!$D$2:$D$260, BASE_MAPA!$I$2:$I$260), "ERRO")</f>
        <v>ERRO</v>
      </c>
      <c r="V94" s="262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59" t="str">
        <f>IF(BS_CONTROLE[[#This Row],[Local - Partida]]=0, "-", BS_CONTROLE[[#This Row],[Local - Partida]])</f>
        <v>-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-</v>
      </c>
      <c r="AN94" s="259" t="str">
        <f>IF(BS_CONTROLE[[#This Row],[SB]]=0, "-", BS_CONTROLE[[#This Row],[SB]])</f>
        <v>-</v>
      </c>
      <c r="AO94" s="260" t="str">
        <f>IF(BS_CONTROLE[[#This Row],[SUB]]=0, "-", BS_CONTROLE[[#This Row],[SUB]])</f>
        <v>-</v>
      </c>
      <c r="AP94" s="261" t="str">
        <f>IF(BS_CONTROLE[[#This Row],[KM - Inicio]]=0, "-", BS_CONTROLE[[#This Row],[KM - Inicio]])</f>
        <v>-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BASE_MAPA!$D$2:$D$260, BASE_MAPA!$I$2:$I$260), "ERRO")</f>
        <v>ERRO</v>
      </c>
      <c r="BF94" s="262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2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295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BASE_MAPA!$D$2:$D$260, BASE_MAPA!$I$2:$I$260), "ERRO")</f>
        <v>ERRO</v>
      </c>
      <c r="V96" s="262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59" t="str">
        <f>IF(BS_CONTROLE[[#This Row],[Local - Partida]]=0, "-", BS_CONTROLE[[#This Row],[Local - Partida]])</f>
        <v>-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-</v>
      </c>
      <c r="AN96" s="259" t="str">
        <f>IF(BS_CONTROLE[[#This Row],[SB]]=0, "-", BS_CONTROLE[[#This Row],[SB]])</f>
        <v>-</v>
      </c>
      <c r="AO96" s="260" t="str">
        <f>IF(BS_CONTROLE[[#This Row],[SUB]]=0, "-", BS_CONTROLE[[#This Row],[SUB]])</f>
        <v>-</v>
      </c>
      <c r="AP96" s="261" t="str">
        <f>IF(BS_CONTROLE[[#This Row],[KM - Inicio]]=0, "-", BS_CONTROLE[[#This Row],[KM - Inicio]])</f>
        <v>-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BASE_MAPA!$D$2:$D$260, BASE_MAPA!$I$2:$I$260), "ERRO")</f>
        <v>ERRO</v>
      </c>
      <c r="BF96" s="262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295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317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BASE_MAPA!$D$2:$D$260, BASE_MAPA!$I$2:$I$260), "ERRO")</f>
        <v>ERRO</v>
      </c>
      <c r="V97" s="262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59" t="str">
        <f>IF(BS_CONTROLE[[#This Row],[Local - Partida]]=0, "-", BS_CONTROLE[[#This Row],[Local - Partida]])</f>
        <v>-</v>
      </c>
      <c r="AL97" s="259" t="str">
        <f>IF(BS_CONTROLE[[#This Row],[Local - Encerramento]]=0, "-", BS_CONTROLE[[#This Row],[Local - Encerramento]])</f>
        <v>-</v>
      </c>
      <c r="AM97" s="259" t="str">
        <f>IF(BS_CONTROLE[[#This Row],[Entre - Estações]]=0, "-", BS_CONTROLE[[#This Row],[Entre - Estações]])</f>
        <v>-</v>
      </c>
      <c r="AN97" s="259" t="str">
        <f>IF(BS_CONTROLE[[#This Row],[SB]]=0, "-", BS_CONTROLE[[#This Row],[SB]])</f>
        <v>-</v>
      </c>
      <c r="AO97" s="260" t="str">
        <f>IF(BS_CONTROLE[[#This Row],[SUB]]=0, "-", BS_CONTROLE[[#This Row],[SUB]])</f>
        <v>-</v>
      </c>
      <c r="AP97" s="261" t="str">
        <f>IF(BS_CONTROLE[[#This Row],[KM - Inicio]]=0, "-", BS_CONTROLE[[#This Row],[KM - Inicio]])</f>
        <v>-</v>
      </c>
      <c r="AQ97" s="261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294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BASE_MAPA!$D$2:$D$260, BASE_MAPA!$I$2:$I$260), "ERRO")</f>
        <v>ERRO</v>
      </c>
      <c r="BF97" s="262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295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317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BASE_MAPA!$D$2:$D$260, BASE_MAPA!$I$2:$I$260), "ERRO")</f>
        <v>ERRO</v>
      </c>
      <c r="V98" s="262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59" t="str">
        <f>IF(BS_CONTROLE[[#This Row],[Local - Partida]]=0, "-", BS_CONTROLE[[#This Row],[Local - Partida]])</f>
        <v>-</v>
      </c>
      <c r="AL98" s="259" t="str">
        <f>IF(BS_CONTROLE[[#This Row],[Local - Encerramento]]=0, "-", BS_CONTROLE[[#This Row],[Local - Encerramento]])</f>
        <v>-</v>
      </c>
      <c r="AM98" s="259" t="str">
        <f>IF(BS_CONTROLE[[#This Row],[Entre - Estações]]=0, "-", BS_CONTROLE[[#This Row],[Entre - Estações]])</f>
        <v>-</v>
      </c>
      <c r="AN98" s="259" t="str">
        <f>IF(BS_CONTROLE[[#This Row],[SB]]=0, "-", BS_CONTROLE[[#This Row],[SB]])</f>
        <v>-</v>
      </c>
      <c r="AO98" s="260" t="str">
        <f>IF(BS_CONTROLE[[#This Row],[SUB]]=0, "-", BS_CONTROLE[[#This Row],[SUB]])</f>
        <v>-</v>
      </c>
      <c r="AP98" s="261" t="str">
        <f>IF(BS_CONTROLE[[#This Row],[KM - Inicio]]=0, "-", BS_CONTROLE[[#This Row],[KM - Inicio]])</f>
        <v>-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BASE_MAPA!$D$2:$D$260, BASE_MAPA!$I$2:$I$260), "ERRO")</f>
        <v>ERRO</v>
      </c>
      <c r="BF98" s="262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295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317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BASE_MAPA!$D$2:$D$260, BASE_MAPA!$I$2:$I$260), "ERRO")</f>
        <v>ERRO</v>
      </c>
      <c r="V99" s="262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59" t="str">
        <f>IF(BS_CONTROLE[[#This Row],[Local - Partida]]=0, "-", BS_CONTROLE[[#This Row],[Local - Partida]])</f>
        <v>-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-</v>
      </c>
      <c r="AN99" s="259" t="str">
        <f>IF(BS_CONTROLE[[#This Row],[SB]]=0, "-", BS_CONTROLE[[#This Row],[SB]])</f>
        <v>-</v>
      </c>
      <c r="AO99" s="260" t="str">
        <f>IF(BS_CONTROLE[[#This Row],[SUB]]=0, "-", BS_CONTROLE[[#This Row],[SUB]])</f>
        <v>-</v>
      </c>
      <c r="AP99" s="261" t="str">
        <f>IF(BS_CONTROLE[[#This Row],[KM - Inicio]]=0, "-", BS_CONTROLE[[#This Row],[KM - Inicio]])</f>
        <v>-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BASE_MAPA!$D$2:$D$260, BASE_MAPA!$I$2:$I$260), "ERRO")</f>
        <v>ERRO</v>
      </c>
      <c r="BF99" s="262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2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295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317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BASE_MAPA!$D$2:$D$260, BASE_MAPA!$I$2:$I$260), "ERRO")</f>
        <v>ERRO</v>
      </c>
      <c r="V101" s="262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59" t="str">
        <f>IF(BS_CONTROLE[[#This Row],[Local - Partida]]=0, "-", BS_CONTROLE[[#This Row],[Local - Partida]])</f>
        <v>-</v>
      </c>
      <c r="AL101" s="259" t="str">
        <f>IF(BS_CONTROLE[[#This Row],[Local - Encerramento]]=0, "-", BS_CONTROLE[[#This Row],[Local - Encerramento]])</f>
        <v>-</v>
      </c>
      <c r="AM101" s="259" t="str">
        <f>IF(BS_CONTROLE[[#This Row],[Entre - Estações]]=0, "-", BS_CONTROLE[[#This Row],[Entre - Estações]])</f>
        <v>-</v>
      </c>
      <c r="AN101" s="259" t="str">
        <f>IF(BS_CONTROLE[[#This Row],[SB]]=0, "-", BS_CONTROLE[[#This Row],[SB]])</f>
        <v>-</v>
      </c>
      <c r="AO101" s="260" t="str">
        <f>IF(BS_CONTROLE[[#This Row],[SUB]]=0, "-", BS_CONTROLE[[#This Row],[SUB]])</f>
        <v>-</v>
      </c>
      <c r="AP101" s="261" t="str">
        <f>IF(BS_CONTROLE[[#This Row],[KM - Inicio]]=0, "-", BS_CONTROLE[[#This Row],[KM - Inicio]])</f>
        <v>-</v>
      </c>
      <c r="AQ101" s="261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294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BASE_MAPA!$D$2:$D$260, BASE_MAPA!$I$2:$I$260), "ERRO")</f>
        <v>ERRO</v>
      </c>
      <c r="BF101" s="262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2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295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317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BASE_MAPA!$D$2:$D$260, BASE_MAPA!$I$2:$I$260), "ERRO")</f>
        <v>ERRO</v>
      </c>
      <c r="V103" s="262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59" t="str">
        <f>IF(BS_CONTROLE[[#This Row],[Local - Partida]]=0, "-", BS_CONTROLE[[#This Row],[Local - Partida]])</f>
        <v>-</v>
      </c>
      <c r="AL103" s="259" t="str">
        <f>IF(BS_CONTROLE[[#This Row],[Local - Encerramento]]=0, "-", BS_CONTROLE[[#This Row],[Local - Encerramento]])</f>
        <v>-</v>
      </c>
      <c r="AM103" s="259" t="str">
        <f>IF(BS_CONTROLE[[#This Row],[Entre - Estações]]=0, "-", BS_CONTROLE[[#This Row],[Entre - Estações]])</f>
        <v>-</v>
      </c>
      <c r="AN103" s="259" t="str">
        <f>IF(BS_CONTROLE[[#This Row],[SB]]=0, "-", BS_CONTROLE[[#This Row],[SB]])</f>
        <v>-</v>
      </c>
      <c r="AO103" s="260" t="str">
        <f>IF(BS_CONTROLE[[#This Row],[SUB]]=0, "-", BS_CONTROLE[[#This Row],[SUB]])</f>
        <v>-</v>
      </c>
      <c r="AP103" s="261" t="str">
        <f>IF(BS_CONTROLE[[#This Row],[KM - Inicio]]=0, "-", BS_CONTROLE[[#This Row],[KM - Inicio]])</f>
        <v>-</v>
      </c>
      <c r="AQ103" s="261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294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BASE_MAPA!$D$2:$D$260, BASE_MAPA!$I$2:$I$260), "ERRO")</f>
        <v>ERRO</v>
      </c>
      <c r="BF103" s="262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295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317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BASE_MAPA!$D$2:$D$260, BASE_MAPA!$I$2:$I$260), "ERRO")</f>
        <v>ERRO</v>
      </c>
      <c r="V104" s="262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-</v>
      </c>
      <c r="AN104" s="259" t="str">
        <f>IF(BS_CONTROLE[[#This Row],[SB]]=0, "-", BS_CONTROLE[[#This Row],[SB]])</f>
        <v>-</v>
      </c>
      <c r="AO104" s="260" t="str">
        <f>IF(BS_CONTROLE[[#This Row],[SUB]]=0, "-", BS_CONTROLE[[#This Row],[SUB]])</f>
        <v>-</v>
      </c>
      <c r="AP104" s="261" t="str">
        <f>IF(BS_CONTROLE[[#This Row],[KM - Inicio]]=0, "-", BS_CONTROLE[[#This Row],[KM - Inicio]])</f>
        <v>-</v>
      </c>
      <c r="AQ104" s="261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294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BASE_MAPA!$D$2:$D$260, BASE_MAPA!$I$2:$I$260), "ERRO")</f>
        <v>ERRO</v>
      </c>
      <c r="BF104" s="262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2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262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262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262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262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61:Q74 O76:Q450" name="Range1_9_1"/>
    <protectedRange sqref="V29:Y30 X6:Y28 X31:Y35 V36:Y50 V52:Y54 X51:Y51 X56:Y61 V61:W61 W55:Y55 V68:V70 X68:Y70 V71:Y73 V74 X74:Y75 V76:Y76 V78:Y79 X77:Y77 V62:Y67 X80:Y81 V82:Y450" name="Range1_11_1"/>
    <protectedRange sqref="Z29:AD30 Z6:Z28 Z31:Z32 Z43:AD46 Z40:Z42 Z49:AD50 Z47:Z48 Z52:AD55 Z51 Z33:AD39 Z56:Z57 Z58:AD74 Z76:AD76 Z75 Z78:AD79 Z77 Z80:Z81 Z82:AD450" name="Range1_12_1"/>
    <protectedRange sqref="BF6:BF552" name="Range1_18_1"/>
    <protectedRange sqref="D11" name="Range1_14_1_1"/>
    <protectedRange sqref="F11" name="Range1_14_1_2"/>
    <protectedRange sqref="D6:D7 D20 D25 D14 D31:D32 D56:D57 D80:D81" name="Range1_14_1_1_1"/>
    <protectedRange sqref="F6:F7 F25 F14 F31:F32 F56:F57 F80:F81" name="Range1_14_1_2_1"/>
    <protectedRange sqref="J7 J27 J20 J25 J14 J75" name="Range1_16_2"/>
    <protectedRange sqref="O7:Q7 P8:P9 O27:Q27 O20:Q20 O25:Q25 O14:Q14 P33:P34 P58:P59 O75:Q75" name="Range1_17_2"/>
    <protectedRange sqref="J6:K6 J31:K31 J56:K56" name="Range1_16_11"/>
    <protectedRange sqref="O6:Q6 O31:Q31 O56:Q56" name="Range1_17_11"/>
    <protectedRange sqref="V6:V7 V19 V31:V32 V51 V55:V57 V77 V80:V81" name="Range1_18_1_1"/>
    <protectedRange sqref="W6 W15:W17 W19 W23 W28 W31 W51 W56 W68:W70 W74 W77" name="Range1_18_4"/>
    <protectedRange sqref="AA6:AE7 AA19:AE20 AA31:AE32 AA51:AE51 AA56:AE57 AA77:AE77 AA80:AE81" name="Range1_19_1"/>
    <protectedRange sqref="AA27:AC27 AA25:AE25 AA75:AC7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4" operator="equal">
      <formula>"ERRO"</formula>
    </cfRule>
  </conditionalFormatting>
  <conditionalFormatting sqref="X4 Y475:Y550 Y1:Z474">
    <cfRule type="cellIs" dxfId="137" priority="18373" operator="equal">
      <formula>"OPORTUNIDADE"</formula>
    </cfRule>
  </conditionalFormatting>
  <conditionalFormatting sqref="AZ6:AZ522">
    <cfRule type="expression" dxfId="136" priority="18368">
      <formula>$BU6=1</formula>
    </cfRule>
  </conditionalFormatting>
  <conditionalFormatting sqref="BQ6:BQ599">
    <cfRule type="cellIs" dxfId="135" priority="18379" operator="equal">
      <formula>"Produção e Intervalo"</formula>
    </cfRule>
    <cfRule type="cellIs" dxfId="134" priority="18380" operator="equal">
      <formula>"Aderente"</formula>
    </cfRule>
    <cfRule type="cellIs" dxfId="133" priority="18381" operator="equal">
      <formula>"Intervalo"</formula>
    </cfRule>
    <cfRule type="cellIs" dxfId="132" priority="18382" operator="equal">
      <formula>"Produção"</formula>
    </cfRule>
    <cfRule type="cellIs" dxfId="131" priority="18383" operator="equal">
      <formula>"ERRO"</formula>
    </cfRule>
  </conditionalFormatting>
  <conditionalFormatting sqref="BR6:BS552">
    <cfRule type="cellIs" dxfId="130" priority="18361" operator="equal">
      <formula>"*"</formula>
    </cfRule>
    <cfRule type="cellIs" dxfId="129" priority="18362" operator="greaterThanOrEqual">
      <formula>1</formula>
    </cfRule>
    <cfRule type="cellIs" dxfId="128" priority="18363" operator="lessThan">
      <formula>1</formula>
    </cfRule>
  </conditionalFormatting>
  <conditionalFormatting sqref="X475:X522 Y475:Y550 Y6:Z474">
    <cfRule type="cellIs" dxfId="127" priority="18309" operator="equal">
      <formula>"NÃO"</formula>
    </cfRule>
    <cfRule type="cellIs" dxfId="126" priority="18310" operator="equal">
      <formula>"SIM"</formula>
    </cfRule>
  </conditionalFormatting>
  <conditionalFormatting sqref="X475:X522">
    <cfRule type="cellIs" dxfId="125" priority="18308" operator="equal">
      <formula>"OPORTUNIDADE"</formula>
    </cfRule>
  </conditionalFormatting>
  <conditionalFormatting sqref="Z475:Z522">
    <cfRule type="cellIs" dxfId="124" priority="18306" operator="equal">
      <formula>"NÃO"</formula>
    </cfRule>
    <cfRule type="cellIs" dxfId="123" priority="18307" operator="equal">
      <formula>"SIM"</formula>
    </cfRule>
  </conditionalFormatting>
  <conditionalFormatting sqref="Z475:Z522">
    <cfRule type="cellIs" dxfId="122" priority="18305" operator="equal">
      <formula>"OPORTUNIDADE"</formula>
    </cfRule>
  </conditionalFormatting>
  <conditionalFormatting sqref="Y1048575:Y1048576">
    <cfRule type="cellIs" dxfId="121" priority="18190" operator="equal">
      <formula>"OPORTUNIDADE"</formula>
    </cfRule>
  </conditionalFormatting>
  <conditionalFormatting sqref="Y1048575:Y1048576">
    <cfRule type="cellIs" dxfId="120" priority="18188" operator="equal">
      <formula>"NÃO"</formula>
    </cfRule>
    <cfRule type="cellIs" dxfId="119" priority="18189" operator="equal">
      <formula>"SIM"</formula>
    </cfRule>
  </conditionalFormatting>
  <conditionalFormatting sqref="Z523:Z548">
    <cfRule type="cellIs" dxfId="118" priority="17925" operator="equal">
      <formula>"OPORTUNIDADE"</formula>
    </cfRule>
  </conditionalFormatting>
  <conditionalFormatting sqref="Z523:Z548">
    <cfRule type="cellIs" dxfId="117" priority="17923" operator="equal">
      <formula>"NÃO"</formula>
    </cfRule>
    <cfRule type="cellIs" dxfId="116" priority="17924" operator="equal">
      <formula>"SIM"</formula>
    </cfRule>
  </conditionalFormatting>
  <conditionalFormatting sqref="X549">
    <cfRule type="cellIs" dxfId="115" priority="17911" operator="equal">
      <formula>"NÃO"</formula>
    </cfRule>
    <cfRule type="cellIs" dxfId="114" priority="17912" operator="equal">
      <formula>"SIM"</formula>
    </cfRule>
  </conditionalFormatting>
  <conditionalFormatting sqref="X549">
    <cfRule type="cellIs" dxfId="113" priority="17910" operator="equal">
      <formula>"OPORTUNIDADE"</formula>
    </cfRule>
  </conditionalFormatting>
  <conditionalFormatting sqref="Z549">
    <cfRule type="cellIs" dxfId="112" priority="17908" operator="equal">
      <formula>"NÃO"</formula>
    </cfRule>
    <cfRule type="cellIs" dxfId="111" priority="17909" operator="equal">
      <formula>"SIM"</formula>
    </cfRule>
  </conditionalFormatting>
  <conditionalFormatting sqref="Z549">
    <cfRule type="cellIs" dxfId="110" priority="17907" operator="equal">
      <formula>"OPORTUNIDADE"</formula>
    </cfRule>
  </conditionalFormatting>
  <conditionalFormatting sqref="BI549"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17">
      <iconSet showValue="0">
        <cfvo type="percent" val="0"/>
        <cfvo type="num" val="1"/>
        <cfvo type="num" val="1" gte="0"/>
      </iconSet>
    </cfRule>
    <cfRule type="iconSet" priority="1791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1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27">
      <formula>$BU492=1</formula>
    </cfRule>
  </conditionalFormatting>
  <conditionalFormatting sqref="AZ525:AZ549">
    <cfRule type="expression" dxfId="108" priority="18687">
      <formula>$BU497=1</formula>
    </cfRule>
  </conditionalFormatting>
  <conditionalFormatting sqref="BI523:BI548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0">
      <iconSet showValue="0">
        <cfvo type="percent" val="0"/>
        <cfvo type="num" val="1"/>
        <cfvo type="num" val="1" gte="0"/>
      </iconSet>
    </cfRule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4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2" operator="equal">
      <formula>"*"</formula>
    </cfRule>
    <cfRule type="cellIs" dxfId="106" priority="13323" operator="greaterThanOrEqual">
      <formula>1</formula>
    </cfRule>
    <cfRule type="cellIs" dxfId="105" priority="13324" operator="lessThan">
      <formula>1</formula>
    </cfRule>
  </conditionalFormatting>
  <conditionalFormatting sqref="BI6:BI522">
    <cfRule type="iconSet" priority="18711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2">
      <iconSet showValue="0">
        <cfvo type="percent" val="0"/>
        <cfvo type="num" val="1"/>
        <cfvo type="num" val="1" gte="0"/>
      </iconSet>
    </cfRule>
    <cfRule type="iconSet" priority="18713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599">
    <cfRule type="iconSet" priority="18730">
      <iconSet showValue="0">
        <cfvo type="percent" val="0"/>
        <cfvo type="num" val="1"/>
        <cfvo type="num" val="1" gte="0"/>
      </iconSet>
    </cfRule>
  </conditionalFormatting>
  <conditionalFormatting sqref="BP6:BP55 BP71:BP73 BP57:BP60 BP62:BP67 BP77:BP599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20.25" customHeight="1">
      <c r="B2" s="356" t="s">
        <v>1097</v>
      </c>
      <c r="C2" s="356"/>
      <c r="D2" s="356"/>
      <c r="E2" s="356"/>
    </row>
    <row r="3" spans="2:5" ht="20.25" customHeight="1">
      <c r="B3" s="357"/>
      <c r="C3" s="357"/>
      <c r="D3" s="357"/>
      <c r="E3" s="357"/>
    </row>
    <row r="4" spans="2:5">
      <c r="B4" s="327" t="s">
        <v>1098</v>
      </c>
      <c r="C4" s="327" t="s">
        <v>1099</v>
      </c>
      <c r="D4" s="327" t="s">
        <v>1100</v>
      </c>
      <c r="E4" s="327" t="s">
        <v>1101</v>
      </c>
    </row>
    <row r="5" spans="2:5">
      <c r="B5" s="328"/>
      <c r="C5" s="328"/>
      <c r="D5" s="328"/>
      <c r="E5" s="328"/>
    </row>
    <row r="6" spans="2:5">
      <c r="B6" s="328"/>
      <c r="C6" s="328"/>
      <c r="D6" s="328"/>
      <c r="E6" s="328"/>
    </row>
    <row r="7" spans="2:5">
      <c r="B7" s="328"/>
      <c r="C7" s="328"/>
      <c r="D7" s="328"/>
      <c r="E7" s="328"/>
    </row>
    <row r="8" spans="2:5">
      <c r="B8" s="328"/>
      <c r="C8" s="328"/>
      <c r="D8" s="328"/>
      <c r="E8" s="328"/>
    </row>
    <row r="9" spans="2:5">
      <c r="B9" s="328"/>
      <c r="C9" s="328"/>
      <c r="D9" s="328"/>
      <c r="E9" s="328"/>
    </row>
    <row r="10" spans="2:5">
      <c r="B10" s="328"/>
      <c r="C10" s="328"/>
      <c r="D10" s="328"/>
      <c r="E10" s="328"/>
    </row>
    <row r="11" spans="2:5">
      <c r="B11" s="328"/>
      <c r="C11" s="328"/>
      <c r="D11" s="328"/>
      <c r="E11" s="328"/>
    </row>
    <row r="12" spans="2:5">
      <c r="B12" s="328"/>
      <c r="C12" s="328"/>
      <c r="D12" s="328"/>
      <c r="E12" s="328"/>
    </row>
    <row r="13" spans="2:5">
      <c r="B13" s="328"/>
      <c r="C13" s="328"/>
      <c r="D13" s="328"/>
      <c r="E13" s="328"/>
    </row>
    <row r="14" spans="2:5">
      <c r="B14" s="328"/>
      <c r="C14" s="328"/>
      <c r="D14" s="328"/>
      <c r="E14" s="328"/>
    </row>
    <row r="15" spans="2:5">
      <c r="B15" s="328"/>
      <c r="C15" s="328"/>
      <c r="D15" s="328"/>
      <c r="E15" s="328"/>
    </row>
    <row r="16" spans="2:5">
      <c r="B16" s="328"/>
      <c r="C16" s="328"/>
      <c r="D16" s="328"/>
      <c r="E16" s="328"/>
    </row>
    <row r="17" spans="2:5">
      <c r="B17" s="328"/>
      <c r="C17" s="328"/>
      <c r="D17" s="328"/>
      <c r="E17" s="328"/>
    </row>
    <row r="18" spans="2:5">
      <c r="B18" s="328"/>
      <c r="C18" s="328"/>
      <c r="D18" s="328"/>
      <c r="E18" s="328"/>
    </row>
    <row r="19" spans="2:5">
      <c r="B19" s="328"/>
      <c r="C19" s="328"/>
      <c r="D19" s="328"/>
      <c r="E19" s="328"/>
    </row>
    <row r="20" spans="2:5">
      <c r="B20" s="328"/>
      <c r="C20" s="328"/>
      <c r="D20" s="328"/>
      <c r="E20" s="328"/>
    </row>
    <row r="21" spans="2:5">
      <c r="B21" s="328"/>
      <c r="C21" s="328"/>
      <c r="D21" s="328"/>
      <c r="E21" s="328"/>
    </row>
    <row r="22" spans="2:5">
      <c r="B22" s="328"/>
      <c r="C22" s="328"/>
      <c r="D22" s="328"/>
      <c r="E22" s="328"/>
    </row>
    <row r="23" spans="2:5">
      <c r="B23" s="328"/>
      <c r="C23" s="328"/>
      <c r="D23" s="328"/>
      <c r="E23" s="328"/>
    </row>
    <row r="24" spans="2:5">
      <c r="B24" s="328"/>
      <c r="C24" s="328"/>
      <c r="D24" s="328"/>
      <c r="E24" s="328"/>
    </row>
    <row r="25" spans="2:5">
      <c r="B25" s="328"/>
      <c r="C25" s="328"/>
      <c r="D25" s="328"/>
      <c r="E25" s="328"/>
    </row>
    <row r="26" spans="2:5">
      <c r="B26" s="328"/>
      <c r="C26" s="328"/>
      <c r="D26" s="328"/>
      <c r="E26" s="328"/>
    </row>
    <row r="27" spans="2:5">
      <c r="B27" s="328"/>
      <c r="C27" s="328"/>
      <c r="D27" s="328"/>
      <c r="E27" s="328"/>
    </row>
    <row r="28" spans="2:5">
      <c r="B28" s="328"/>
      <c r="C28" s="328"/>
      <c r="D28" s="328"/>
      <c r="E28" s="328"/>
    </row>
    <row r="29" spans="2:5">
      <c r="B29" s="328"/>
      <c r="C29" s="328"/>
      <c r="D29" s="328"/>
      <c r="E29" s="328"/>
    </row>
    <row r="30" spans="2:5">
      <c r="B30" s="328"/>
      <c r="C30" s="328"/>
      <c r="D30" s="328"/>
      <c r="E30" s="328"/>
    </row>
    <row r="31" spans="2:5">
      <c r="B31" s="328"/>
      <c r="C31" s="328"/>
      <c r="D31" s="328"/>
      <c r="E31" s="328"/>
    </row>
    <row r="32" spans="2:5">
      <c r="B32" s="328"/>
      <c r="C32" s="328"/>
      <c r="D32" s="328"/>
      <c r="E32" s="328"/>
    </row>
  </sheetData>
  <mergeCells count="1">
    <mergeCell ref="B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>
      <c r="C1" s="356" t="s">
        <v>1102</v>
      </c>
      <c r="D1" s="356"/>
      <c r="E1" s="356"/>
      <c r="F1" s="356"/>
      <c r="G1" s="356"/>
      <c r="H1" s="356"/>
    </row>
    <row r="2" spans="3:8">
      <c r="C2" s="356"/>
      <c r="D2" s="356"/>
      <c r="E2" s="356"/>
      <c r="F2" s="356"/>
      <c r="G2" s="356"/>
      <c r="H2" s="356"/>
    </row>
    <row r="3" spans="3:8" ht="34.5" customHeight="1">
      <c r="C3" s="327" t="s">
        <v>410</v>
      </c>
      <c r="D3" s="327" t="s">
        <v>1103</v>
      </c>
      <c r="E3" s="327" t="s">
        <v>1104</v>
      </c>
      <c r="F3" s="327" t="s">
        <v>1105</v>
      </c>
      <c r="G3" s="327" t="s">
        <v>1106</v>
      </c>
      <c r="H3" s="327" t="s">
        <v>1107</v>
      </c>
    </row>
    <row r="4" spans="3:8">
      <c r="C4" s="328"/>
      <c r="D4" s="328"/>
      <c r="E4" s="328"/>
      <c r="F4" s="328"/>
      <c r="G4" s="328"/>
      <c r="H4" s="328"/>
    </row>
    <row r="5" spans="3:8">
      <c r="C5" s="328"/>
      <c r="D5" s="328"/>
      <c r="E5" s="328"/>
      <c r="F5" s="328"/>
      <c r="G5" s="328"/>
      <c r="H5" s="328"/>
    </row>
    <row r="6" spans="3:8">
      <c r="C6" s="328"/>
      <c r="D6" s="328"/>
      <c r="E6" s="328"/>
      <c r="F6" s="328"/>
      <c r="G6" s="328"/>
      <c r="H6" s="328"/>
    </row>
    <row r="7" spans="3:8">
      <c r="C7" s="328"/>
      <c r="D7" s="328"/>
      <c r="E7" s="328"/>
      <c r="F7" s="328"/>
      <c r="G7" s="328"/>
      <c r="H7" s="328"/>
    </row>
    <row r="8" spans="3:8">
      <c r="C8" s="328"/>
      <c r="D8" s="328"/>
      <c r="E8" s="328"/>
      <c r="F8" s="328"/>
      <c r="G8" s="328"/>
      <c r="H8" s="328"/>
    </row>
    <row r="9" spans="3:8">
      <c r="C9" s="328"/>
      <c r="D9" s="328"/>
      <c r="E9" s="328"/>
      <c r="F9" s="328"/>
      <c r="G9" s="328"/>
      <c r="H9" s="328"/>
    </row>
    <row r="10" spans="3:8">
      <c r="C10" s="328"/>
      <c r="D10" s="328"/>
      <c r="E10" s="328"/>
      <c r="F10" s="328"/>
      <c r="G10" s="328"/>
      <c r="H10" s="328"/>
    </row>
    <row r="11" spans="3:8">
      <c r="C11" s="328"/>
      <c r="D11" s="328"/>
      <c r="E11" s="328"/>
      <c r="F11" s="328"/>
      <c r="G11" s="328"/>
      <c r="H11" s="328"/>
    </row>
    <row r="12" spans="3:8">
      <c r="C12" s="328"/>
      <c r="D12" s="328"/>
      <c r="E12" s="328"/>
      <c r="F12" s="328"/>
      <c r="G12" s="328"/>
      <c r="H12" s="328"/>
    </row>
    <row r="13" spans="3:8">
      <c r="C13" s="328"/>
      <c r="D13" s="328"/>
      <c r="E13" s="328"/>
      <c r="F13" s="328"/>
      <c r="G13" s="328"/>
      <c r="H13" s="328"/>
    </row>
    <row r="14" spans="3:8">
      <c r="C14" s="328"/>
      <c r="D14" s="328"/>
      <c r="E14" s="328"/>
      <c r="F14" s="328"/>
      <c r="G14" s="328"/>
      <c r="H14" s="328"/>
    </row>
    <row r="15" spans="3:8">
      <c r="C15" s="328"/>
      <c r="D15" s="328"/>
      <c r="E15" s="328"/>
      <c r="F15" s="328"/>
      <c r="G15" s="328"/>
      <c r="H15" s="328"/>
    </row>
    <row r="16" spans="3:8">
      <c r="C16" s="328"/>
      <c r="D16" s="328"/>
      <c r="E16" s="328"/>
      <c r="F16" s="328"/>
      <c r="G16" s="328"/>
      <c r="H16" s="328"/>
    </row>
    <row r="17" spans="3:8">
      <c r="C17" s="328"/>
      <c r="D17" s="328"/>
      <c r="E17" s="328"/>
      <c r="F17" s="328"/>
      <c r="G17" s="328"/>
      <c r="H17" s="328"/>
    </row>
    <row r="18" spans="3:8">
      <c r="C18" s="328"/>
      <c r="D18" s="328"/>
      <c r="E18" s="328"/>
      <c r="F18" s="328"/>
      <c r="G18" s="328"/>
      <c r="H18" s="328"/>
    </row>
    <row r="19" spans="3:8">
      <c r="C19" s="328"/>
      <c r="D19" s="328"/>
      <c r="E19" s="328"/>
      <c r="F19" s="328"/>
      <c r="G19" s="328"/>
      <c r="H19" s="328"/>
    </row>
    <row r="20" spans="3:8">
      <c r="C20" s="328"/>
      <c r="D20" s="328"/>
      <c r="E20" s="328"/>
      <c r="F20" s="328"/>
      <c r="G20" s="328"/>
      <c r="H20" s="328"/>
    </row>
    <row r="21" spans="3:8">
      <c r="C21" s="328"/>
      <c r="D21" s="328"/>
      <c r="E21" s="328"/>
      <c r="F21" s="328"/>
      <c r="G21" s="328"/>
      <c r="H21" s="328"/>
    </row>
    <row r="22" spans="3:8">
      <c r="C22" s="328"/>
      <c r="D22" s="328"/>
      <c r="E22" s="328"/>
      <c r="F22" s="328"/>
      <c r="G22" s="328"/>
      <c r="H22" s="328"/>
    </row>
    <row r="23" spans="3:8">
      <c r="C23" s="328"/>
      <c r="D23" s="328"/>
      <c r="E23" s="328"/>
      <c r="F23" s="328"/>
      <c r="G23" s="328"/>
      <c r="H23" s="328"/>
    </row>
    <row r="24" spans="3:8">
      <c r="C24" s="328"/>
      <c r="D24" s="328"/>
      <c r="E24" s="328"/>
      <c r="F24" s="328"/>
      <c r="G24" s="328"/>
      <c r="H24" s="328"/>
    </row>
    <row r="25" spans="3:8">
      <c r="C25" s="328"/>
      <c r="D25" s="328"/>
      <c r="E25" s="328"/>
      <c r="F25" s="328"/>
      <c r="G25" s="328"/>
      <c r="H25" s="328"/>
    </row>
    <row r="26" spans="3:8">
      <c r="C26" s="328"/>
      <c r="D26" s="328"/>
      <c r="E26" s="328"/>
      <c r="F26" s="328"/>
      <c r="G26" s="328"/>
      <c r="H26" s="328"/>
    </row>
    <row r="27" spans="3:8">
      <c r="C27" s="328"/>
      <c r="D27" s="328"/>
      <c r="E27" s="328"/>
      <c r="F27" s="328"/>
      <c r="G27" s="328"/>
      <c r="H27" s="328"/>
    </row>
    <row r="28" spans="3:8">
      <c r="C28" s="328"/>
      <c r="D28" s="328"/>
      <c r="E28" s="328"/>
      <c r="F28" s="328"/>
      <c r="G28" s="328"/>
      <c r="H28" s="328"/>
    </row>
    <row r="29" spans="3:8">
      <c r="C29" s="328"/>
      <c r="D29" s="328"/>
      <c r="E29" s="328"/>
      <c r="F29" s="328"/>
      <c r="G29" s="328"/>
      <c r="H29" s="328"/>
    </row>
    <row r="30" spans="3:8">
      <c r="C30" s="328"/>
      <c r="D30" s="328"/>
      <c r="E30" s="328"/>
      <c r="F30" s="328"/>
      <c r="G30" s="328"/>
      <c r="H30" s="328"/>
    </row>
    <row r="31" spans="3:8">
      <c r="C31" s="328"/>
      <c r="D31" s="328"/>
      <c r="E31" s="328"/>
      <c r="F31" s="328"/>
      <c r="G31" s="328"/>
      <c r="H31" s="32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:Q5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8" t="s">
        <v>1108</v>
      </c>
      <c r="D5" s="359"/>
      <c r="E5" s="359"/>
      <c r="F5" s="359"/>
      <c r="G5" s="359"/>
      <c r="H5" s="359"/>
      <c r="I5" s="359"/>
      <c r="J5" s="360"/>
      <c r="K5" s="361" t="s">
        <v>1109</v>
      </c>
      <c r="L5" s="362"/>
      <c r="M5" s="362"/>
      <c r="N5" s="362"/>
      <c r="O5" s="363" t="s">
        <v>1110</v>
      </c>
      <c r="P5" s="364"/>
      <c r="Q5" s="365"/>
    </row>
    <row r="6" spans="1:17" s="94" customFormat="1" ht="15.75" customHeight="1">
      <c r="A6" s="88" t="s">
        <v>1111</v>
      </c>
      <c r="B6" s="95" t="s">
        <v>1112</v>
      </c>
      <c r="C6" s="96" t="s">
        <v>869</v>
      </c>
      <c r="D6" s="97" t="s">
        <v>870</v>
      </c>
      <c r="E6" s="96" t="s">
        <v>1113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1114</v>
      </c>
      <c r="M6" s="140" t="s">
        <v>335</v>
      </c>
      <c r="N6" s="141" t="s">
        <v>864</v>
      </c>
      <c r="O6" s="247" t="s">
        <v>907</v>
      </c>
      <c r="P6" s="158"/>
      <c r="Q6" s="194" t="s">
        <v>1115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2</v>
      </c>
      <c r="P57" s="91"/>
      <c r="Q57" s="146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1</v>
      </c>
      <c r="P59" s="91"/>
      <c r="Q59" s="146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2</v>
      </c>
      <c r="P60" s="91"/>
      <c r="Q60" s="146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2</v>
      </c>
      <c r="P61" s="91"/>
      <c r="Q61" s="146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2</v>
      </c>
      <c r="P62" s="91"/>
      <c r="Q62" s="146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1</v>
      </c>
      <c r="P66" s="91"/>
      <c r="Q66" s="146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1</v>
      </c>
      <c r="P67" s="91"/>
      <c r="Q67" s="146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2</v>
      </c>
      <c r="P68" s="91"/>
      <c r="Q68" s="146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4.1666666666666664E-2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2</v>
      </c>
      <c r="P75" s="91"/>
      <c r="Q75" s="146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1</v>
      </c>
      <c r="P79" s="91"/>
      <c r="Q79" s="146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5">
        <f>IF(SP_SUL!K80="","*",SP_SUL!K80)</f>
        <v>240.89</v>
      </c>
      <c r="I82" s="133">
        <f>IF(SP_SUL!O80="","*",SP_SUL!O80)</f>
        <v>0.375</v>
      </c>
      <c r="J82" s="133">
        <f>IF(SP_SUL!P80="","*",SP_SUL!P80)</f>
        <v>8.3333333333333329E-2</v>
      </c>
      <c r="K82" s="142" t="str">
        <f>IF(SP_SUL!AK80="","*",SP_SUL!AK80)</f>
        <v>ZYU1</v>
      </c>
      <c r="L82" s="142" t="str">
        <f>IF(SP_SUL!AM80="","*",SP_SUL!AM80)</f>
        <v>ZDS-ZQB</v>
      </c>
      <c r="M82" s="142">
        <f>IF(SP_SUL!AP80="","*",SP_SUL!AP80)</f>
        <v>240.89</v>
      </c>
      <c r="N82" s="142" t="str">
        <f>IF(SP_SUL!AM80="","*",SP_SUL!AM80)</f>
        <v>ZDS-ZQB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5">
        <f>IF(SP_SUL!K81="","*",SP_SUL!K81)</f>
        <v>225</v>
      </c>
      <c r="I83" s="133">
        <f>IF(SP_SUL!O81="","*",SP_SUL!O81)</f>
        <v>0.39583333333333331</v>
      </c>
      <c r="J83" s="133">
        <f>IF(SP_SUL!P81="","*",SP_SUL!P81)</f>
        <v>8.3333333333333329E-2</v>
      </c>
      <c r="K83" s="142" t="str">
        <f>IF(SP_SUL!AK81="","*",SP_SUL!AK81)</f>
        <v>ZYU1</v>
      </c>
      <c r="L83" s="142" t="str">
        <f>IF(SP_SUL!AM81="","*",SP_SUL!AM81)</f>
        <v>ZXI-ZVK</v>
      </c>
      <c r="M83" s="142">
        <f>IF(SP_SUL!AP81="","*",SP_SUL!AP81)</f>
        <v>225</v>
      </c>
      <c r="N83" s="142" t="str">
        <f>IF(SP_SUL!AM81="","*",SP_SUL!AM81)</f>
        <v>ZXI-ZVK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5">
        <f>IF(SP_SUL!K82="","*",SP_SUL!K82)</f>
        <v>203.5</v>
      </c>
      <c r="I84" s="133">
        <f>IF(SP_SUL!O82="","*",SP_SUL!O82)</f>
        <v>0.41666666666666669</v>
      </c>
      <c r="J84" s="133">
        <f>IF(SP_SUL!P82="","*",SP_SUL!P82)</f>
        <v>6.25E-2</v>
      </c>
      <c r="K84" s="142" t="str">
        <f>IF(SP_SUL!AK82="","*",SP_SUL!AK82)</f>
        <v>-</v>
      </c>
      <c r="L84" s="142" t="str">
        <f>IF(SP_SUL!AM82="","*",SP_SUL!AM82)</f>
        <v>ZYU</v>
      </c>
      <c r="M84" s="142">
        <f>IF(SP_SUL!AP82="","*",SP_SUL!AP82)</f>
        <v>203.5</v>
      </c>
      <c r="N84" s="142" t="str">
        <f>IF(SP_SUL!AM82="","*",SP_SUL!AM82)</f>
        <v>ZYU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5">
        <f>IF(SP_SUL!K83="","*",SP_SUL!K83)</f>
        <v>203.5</v>
      </c>
      <c r="I85" s="133">
        <f>IF(SP_SUL!O83="","*",SP_SUL!O83)</f>
        <v>0.41666666666666669</v>
      </c>
      <c r="J85" s="133">
        <f>IF(SP_SUL!P83="","*",SP_SUL!P83)</f>
        <v>6.25E-2</v>
      </c>
      <c r="K85" s="142" t="str">
        <f>IF(SP_SUL!AK83="","*",SP_SUL!AK83)</f>
        <v>-</v>
      </c>
      <c r="L85" s="142" t="str">
        <f>IF(SP_SUL!AM83="","*",SP_SUL!AM83)</f>
        <v>ZYU</v>
      </c>
      <c r="M85" s="142">
        <f>IF(SP_SUL!AP83="","*",SP_SUL!AP83)</f>
        <v>203.5</v>
      </c>
      <c r="N85" s="142" t="str">
        <f>IF(SP_SUL!AM83="","*",SP_SUL!AM83)</f>
        <v>ZYU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5">
        <f>IF(SP_SUL!K84="","*",SP_SUL!K84)</f>
        <v>195.5</v>
      </c>
      <c r="I86" s="133">
        <f>IF(SP_SUL!O84="","*",SP_SUL!O84)</f>
        <v>0.41666666666666669</v>
      </c>
      <c r="J86" s="133">
        <f>IF(SP_SUL!P84="","*",SP_SUL!P84)</f>
        <v>6.25E-2</v>
      </c>
      <c r="K86" s="142" t="str">
        <f>IF(SP_SUL!AK84="","*",SP_SUL!AK84)</f>
        <v>-</v>
      </c>
      <c r="L86" s="142" t="str">
        <f>IF(SP_SUL!AM84="","*",SP_SUL!AM84)</f>
        <v>ZFY</v>
      </c>
      <c r="M86" s="142">
        <f>IF(SP_SUL!AP84="","*",SP_SUL!AP84)</f>
        <v>195.5</v>
      </c>
      <c r="N86" s="142" t="str">
        <f>IF(SP_SUL!AM84="","*",SP_SUL!AM84)</f>
        <v>ZFY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5">
        <f>IF(SP_SUL!K85="","*",SP_SUL!K85)</f>
        <v>73.900000000000006</v>
      </c>
      <c r="I87" s="133">
        <f>IF(SP_SUL!O85="","*",SP_SUL!O85)</f>
        <v>0.41666666666666669</v>
      </c>
      <c r="J87" s="133">
        <f>IF(SP_SUL!P85="","*",SP_SUL!P85)</f>
        <v>8.3333333333333329E-2</v>
      </c>
      <c r="K87" s="142" t="str">
        <f>IF(SP_SUL!AK85="","*",SP_SUL!AK85)</f>
        <v>-</v>
      </c>
      <c r="L87" s="142" t="str">
        <f>IF(SP_SUL!AM85="","*",SP_SUL!AM85)</f>
        <v>ZPS-ZAL</v>
      </c>
      <c r="M87" s="142">
        <f>IF(SP_SUL!AP85="","*",SP_SUL!AP85)</f>
        <v>73.900000000000006</v>
      </c>
      <c r="N87" s="142" t="str">
        <f>IF(SP_SUL!AM85="","*",SP_SUL!AM85)</f>
        <v>ZPS-ZAL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5">
        <f>IF(SP_SUL!K87="","*",SP_SUL!K87)</f>
        <v>88.68</v>
      </c>
      <c r="I89" s="133">
        <f>IF(SP_SUL!O87="","*",SP_SUL!O87)</f>
        <v>0.41666666666666669</v>
      </c>
      <c r="J89" s="133">
        <f>IF(SP_SUL!P87="","*",SP_SUL!P87)</f>
        <v>8.3333333333333329E-2</v>
      </c>
      <c r="K89" s="142" t="str">
        <f>IF(SP_SUL!AK87="","*",SP_SUL!AK87)</f>
        <v>K91ZWW1</v>
      </c>
      <c r="L89" s="142" t="str">
        <f>IF(SP_SUL!AM87="","*",SP_SUL!AM87)</f>
        <v>ZWW-ZKW</v>
      </c>
      <c r="M89" s="142">
        <f>IF(SP_SUL!AP87="","*",SP_SUL!AP87)</f>
        <v>88.68</v>
      </c>
      <c r="N89" s="142" t="str">
        <f>IF(SP_SUL!AM87="","*",SP_SUL!AM87)</f>
        <v>ZWW-ZKW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>
        <f>IF(SP_SUL!B88="","*",SP_SUL!B88)</f>
        <v>45995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>
        <f>IF(SP_SUL!B90="","*",SP_SUL!B90)</f>
        <v>45995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1115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55" sqref="A55:U7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6"/>
      <c r="B1" s="367"/>
      <c r="C1" s="368"/>
      <c r="L1" s="102"/>
      <c r="M1" s="125"/>
      <c r="N1" s="269"/>
      <c r="O1" s="269"/>
      <c r="P1" s="171"/>
      <c r="Q1" s="369" t="s">
        <v>917</v>
      </c>
      <c r="R1" s="370"/>
      <c r="U1" s="103"/>
      <c r="V1" s="371" t="s">
        <v>1116</v>
      </c>
      <c r="W1" s="371"/>
      <c r="X1" s="371"/>
      <c r="Y1" s="105"/>
    </row>
    <row r="2" spans="1:25" s="101" customFormat="1" ht="11.25" customHeight="1">
      <c r="A2" s="106" t="s">
        <v>1117</v>
      </c>
      <c r="B2" s="106" t="s">
        <v>1112</v>
      </c>
      <c r="C2" s="106" t="s">
        <v>313</v>
      </c>
      <c r="D2" s="107" t="s">
        <v>869</v>
      </c>
      <c r="E2" s="107" t="s">
        <v>870</v>
      </c>
      <c r="F2" s="107" t="s">
        <v>1111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1118</v>
      </c>
      <c r="U2" s="109" t="s">
        <v>872</v>
      </c>
      <c r="V2" s="104">
        <f ca="1">TODAY()-1</f>
        <v>45993</v>
      </c>
      <c r="W2" s="104">
        <f ca="1">V2-1</f>
        <v>45992</v>
      </c>
      <c r="X2" s="104">
        <f ca="1">W2-1</f>
        <v>45991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>
        <f ca="1">_xlfn.XLOOKUP(G6&amp;$W$2,BS_CONTROLE[CHAVE],BS_CONTROLE[Quantidade_11],"-")</f>
        <v>0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>
        <f ca="1">_xlfn.XLOOKUP(G7&amp;$W$2,BS_CONTROLE[CHAVE],BS_CONTROLE[Quantidade_11],"-")</f>
        <v>0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>
        <f ca="1">_xlfn.XLOOKUP(G8&amp;$W$2,BS_CONTROLE[CHAVE],BS_CONTROLE[Quantidade_11],"-")</f>
        <v>0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>
        <f ca="1">_xlfn.XLOOKUP(G11&amp;$W$2,BS_CONTROLE[CHAVE],BS_CONTROLE[Quantidade_11],"-")</f>
        <v>0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>
        <f ca="1">_xlfn.XLOOKUP(G12&amp;$W$2,BS_CONTROLE[CHAVE],BS_CONTROLE[Quantidade_11],"-")</f>
        <v>1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>
        <f ca="1">_xlfn.XLOOKUP(G13&amp;$W$2,BS_CONTROLE[CHAVE],BS_CONTROLE[Quantidade_11],"-")</f>
        <v>1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>
        <f ca="1">_xlfn.XLOOKUP(G14&amp;$W$2,BS_CONTROLE[CHAVE],BS_CONTROLE[Quantidade_11],"-")</f>
        <v>1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>
        <f ca="1">_xlfn.XLOOKUP(G15&amp;$W$2,BS_CONTROLE[CHAVE],BS_CONTROLE[Quantidade_11],"-")</f>
        <v>2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>
        <f ca="1">_xlfn.XLOOKUP(G16&amp;$W$2,BS_CONTROLE[CHAVE],BS_CONTROLE[Quantidade_11],"-")</f>
        <v>1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30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>
        <f ca="1">_xlfn.XLOOKUP(G18&amp;$W$2,BS_CONTROLE[CHAVE],BS_CONTROLE[Quantidade_11],"-")</f>
        <v>1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>
        <f ca="1">_xlfn.XLOOKUP(G19&amp;$W$2,BS_CONTROLE[CHAVE],BS_CONTROLE[Quantidade_11],"-")</f>
        <v>1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>
        <f ca="1">_xlfn.XLOOKUP(G20&amp;$W$2,BS_CONTROLE[CHAVE],BS_CONTROLE[Quantidade_11],"-")</f>
        <v>312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>
        <f ca="1">_xlfn.XLOOKUP(G21&amp;$W$2,BS_CONTROLE[CHAVE],BS_CONTROLE[Quantidade_11],"-")</f>
        <v>1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>
        <f ca="1">_xlfn.XLOOKUP(G22&amp;$W$2,BS_CONTROLE[CHAVE],BS_CONTROLE[Quantidade_11],"-")</f>
        <v>1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>
        <f ca="1">_xlfn.XLOOKUP(G23&amp;$W$2,BS_CONTROLE[CHAVE],BS_CONTROLE[Quantidade_11],"-")</f>
        <v>1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>
        <f ca="1">_xlfn.XLOOKUP(G24&amp;$W$2,BS_CONTROLE[CHAVE],BS_CONTROLE[Quantidade_11],"-")</f>
        <v>1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>
        <f ca="1">_xlfn.XLOOKUP(G26&amp;$W$2,BS_CONTROLE[CHAVE],BS_CONTROLE[Quantidade_11],"-")</f>
        <v>1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>
        <f ca="1">_xlfn.XLOOKUP(G31&amp;$W$2,BS_CONTROLE[CHAVE],BS_CONTROLE[Quantidade_11],"-")</f>
        <v>0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>
        <f ca="1">_xlfn.XLOOKUP(G32&amp;$W$2,BS_CONTROLE[CHAVE],BS_CONTROLE[Quantidade_11],"-")</f>
        <v>0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>
        <f ca="1">_xlfn.XLOOKUP(G33&amp;$W$2,BS_CONTROLE[CHAVE],BS_CONTROLE[Quantidade_11],"-")</f>
        <v>0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>
        <f ca="1">_xlfn.XLOOKUP(G35&amp;$V$2,BS_CONTROLE[CHAVE],BS_CONTROLE[Quantidade_11],"-")</f>
        <v>1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>
        <f ca="1">_xlfn.XLOOKUP(G36&amp;$W$2,BS_CONTROLE[CHAVE],BS_CONTROLE[Quantidade_11],"-")</f>
        <v>1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>
        <f ca="1">_xlfn.XLOOKUP(G37&amp;$V$2,BS_CONTROLE[CHAVE],BS_CONTROLE[Quantidade_11],"-")</f>
        <v>1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>
        <f ca="1">_xlfn.XLOOKUP(G38&amp;$V$2,BS_CONTROLE[CHAVE],BS_CONTROLE[Quantidade_11],"-")</f>
        <v>1900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>
        <f ca="1">_xlfn.XLOOKUP(G39&amp;$V$2,BS_CONTROLE[CHAVE],BS_CONTROLE[Quantidade_11],"-")</f>
        <v>23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>
        <f ca="1">_xlfn.XLOOKUP(G40&amp;$V$2,BS_CONTROLE[CHAVE],BS_CONTROLE[Quantidade_11],"-")</f>
        <v>1800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>
        <f ca="1">_xlfn.XLOOKUP(G41&amp;$V$2,BS_CONTROLE[CHAVE],BS_CONTROLE[Quantidade_11],"-")</f>
        <v>12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0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>
        <f ca="1">_xlfn.XLOOKUP(G44&amp;$V$2,BS_CONTROLE[CHAVE],BS_CONTROLE[Quantidade_11],"-")</f>
        <v>1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>
        <f ca="1">_xlfn.XLOOKUP(G46&amp;$W$2,BS_CONTROLE[CHAVE],BS_CONTROLE[Quantidade_11],"-")</f>
        <v>1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>
        <f ca="1">_xlfn.XLOOKUP(G47&amp;$W$2,BS_CONTROLE[CHAVE],BS_CONTROLE[Quantidade_11],"-")</f>
        <v>1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30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0</v>
      </c>
      <c r="W56" s="113">
        <f ca="1">_xlfn.XLOOKUP(G56&amp;$W$2,BS_CONTROLE[CHAVE],BS_CONTROLE[Quantidade_11],"-")</f>
        <v>0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0</v>
      </c>
      <c r="W57" s="113">
        <f ca="1">_xlfn.XLOOKUP(G57&amp;$W$2,BS_CONTROLE[CHAVE],BS_CONTROLE[Quantidade_11],"-")</f>
        <v>0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PDM - SUBSTITUIÇÃO - DORMENTE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30 Nº DE DORMENTES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0</v>
      </c>
      <c r="W58" s="113">
        <f ca="1">_xlfn.XLOOKUP(G58&amp;$W$2,BS_CONTROLE[CHAVE],BS_CONTROLE[Quantidade_11],"-")</f>
        <v>0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>
        <f ca="1">_xlfn.XLOOKUP(G60&amp;$V$2,BS_CONTROLE[CHAVE],BS_CONTROLE[Quantidade_11],"-")</f>
        <v>1</v>
      </c>
      <c r="W60" s="113">
        <f ca="1">_xlfn.XLOOKUP(G60&amp;$W$2,BS_CONTROLE[CHAVE],BS_CONTROLE[Quantidade_11],"-")</f>
        <v>1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 t="str">
        <f ca="1">_xlfn.XLOOKUP(G68&amp;$V$2,BS_CONTROLE[CHAVE],BS_CONTROLE[Quantidade_11],"-")</f>
        <v>-</v>
      </c>
      <c r="W68" s="113">
        <f ca="1">_xlfn.XLOOKUP(G68&amp;$W$2,BS_CONTROLE[CHAVE],BS_CONTROLE[Quantidade_11],"-")</f>
        <v>1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4.1666666666666664E-2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0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1</v>
      </c>
      <c r="W72" s="113">
        <f ca="1">_xlfn.XLOOKUP(G72&amp;$W$2,BS_CONTROLE[CHAVE],BS_CONTROLE[Quantidade_11],"-")</f>
        <v>1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30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Oportunidade</v>
      </c>
      <c r="C78" s="110" t="str">
        <f>IF(SP_SUL!Z80="","*",SP_SUL!Z80)</f>
        <v>P4</v>
      </c>
      <c r="D78" s="111" t="str">
        <f>IF(SP_SUL!S80="","*",SP_SUL!S80)</f>
        <v>SP SUL</v>
      </c>
      <c r="E78" s="111" t="str">
        <f>IF(SP_SUL!T80="","*",SP_SUL!T80)</f>
        <v>ZBV-ZKE</v>
      </c>
      <c r="F78" s="111">
        <f>IF(SP_SUL!B80="","*",SP_SUL!B80)</f>
        <v>45995</v>
      </c>
      <c r="G78" s="111" t="str">
        <f>IF(SP_SUL!D80="","*",SP_SUL!D80)</f>
        <v>W59</v>
      </c>
      <c r="H78" s="111" t="str">
        <f>IF(SP_SUL!F80="","*",SP_SUL!F80)</f>
        <v>OUTRAS ATIVIDADES</v>
      </c>
      <c r="I78" s="111" t="str">
        <f>IF(SP_SUL!H80="","*",SP_SUL!H80)</f>
        <v>ZYU1</v>
      </c>
      <c r="J78" s="111" t="str">
        <f>IF(SP_SUL!I80="","*",SP_SUL!I80)</f>
        <v>ZYU1</v>
      </c>
      <c r="K78" s="111" t="str">
        <f>IF(SP_SUL!M80="","*",SP_SUL!M80)</f>
        <v>ZDS-ZQB</v>
      </c>
      <c r="L78" s="111" t="str">
        <f>IF(SP_SUL!N80="","*",SP_SUL!N80)</f>
        <v>ZDS2481</v>
      </c>
      <c r="M78" s="112">
        <f>IF(SP_SUL!J80="","*",SP_SUL!J80)</f>
        <v>49</v>
      </c>
      <c r="N78" s="271">
        <f>IF(SP_SUL!K80="","*",SP_SUL!K80)</f>
        <v>240.89</v>
      </c>
      <c r="O78" s="271">
        <f>IF(SP_SUL!L80="","*",SP_SUL!L80)</f>
        <v>198.4</v>
      </c>
      <c r="P78" s="112"/>
      <c r="Q78" s="129">
        <f>IF(SP_SUL!O80="","*",SP_SUL!O80)</f>
        <v>0.375</v>
      </c>
      <c r="R78" s="129">
        <f>IF(SP_SUL!P80="","*",SP_SUL!P80)</f>
        <v>8.3333333333333329E-2</v>
      </c>
      <c r="S78" s="111" t="str">
        <f>IF(SP_SUL!Q80="","*",CONCATENATE(SP_SUL!Q80," ",SP_SUL!R80))</f>
        <v>480 BINÁRIO</v>
      </c>
      <c r="T78" s="111" t="str">
        <f>IF(SP_SUL!V80="","*",SP_SUL!V80)</f>
        <v>Jonas</v>
      </c>
      <c r="U78" s="111" t="str">
        <f>IF(SP_SUL!W80="","*",SP_SUL!W80)</f>
        <v>Descarga de meia chave / Locomotiva Avariada</v>
      </c>
      <c r="V78" s="113">
        <f ca="1">_xlfn.XLOOKUP(G78&amp;$V$2,BS_CONTROLE[CHAVE],BS_CONTROLE[Quantidade_11],"-")</f>
        <v>0</v>
      </c>
      <c r="W78" s="113">
        <f ca="1">_xlfn.XLOOKUP(G78&amp;$W$2,BS_CONTROLE[CHAVE],BS_CONTROLE[Quantidade_11],"-")</f>
        <v>0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Contrato</v>
      </c>
      <c r="C79" s="110" t="str">
        <f>IF(SP_SUL!Z81="","*",SP_SUL!Z81)</f>
        <v>P0</v>
      </c>
      <c r="D79" s="111" t="str">
        <f>IF(SP_SUL!S81="","*",SP_SUL!S81)</f>
        <v>SP SUL</v>
      </c>
      <c r="E79" s="111" t="str">
        <f>IF(SP_SUL!T81="","*",SP_SUL!T81)</f>
        <v>ZBV-ZKE</v>
      </c>
      <c r="F79" s="111">
        <f>IF(SP_SUL!B81="","*",SP_SUL!B81)</f>
        <v>45995</v>
      </c>
      <c r="G79" s="111" t="str">
        <f>IF(SP_SUL!D81="","*",SP_SUL!D81)</f>
        <v>V89</v>
      </c>
      <c r="H79" s="111" t="str">
        <f>IF(SP_SUL!F81="","*",SP_SUL!F81)</f>
        <v>MECANIZAÇÃO - SOCADORA</v>
      </c>
      <c r="I79" s="111" t="str">
        <f>IF(SP_SUL!H81="","*",SP_SUL!H81)</f>
        <v>ZYU1</v>
      </c>
      <c r="J79" s="111" t="str">
        <f>IF(SP_SUL!I81="","*",SP_SUL!I81)</f>
        <v>ZYU1</v>
      </c>
      <c r="K79" s="111" t="str">
        <f>IF(SP_SUL!M81="","*",SP_SUL!M81)</f>
        <v>ZXI-ZVK</v>
      </c>
      <c r="L79" s="111" t="str">
        <f>IF(SP_SUL!N81="","*",SP_SUL!N81)</f>
        <v>224ZIC1</v>
      </c>
      <c r="M79" s="112">
        <f>IF(SP_SUL!J81="","*",SP_SUL!J81)</f>
        <v>49</v>
      </c>
      <c r="N79" s="271">
        <f>IF(SP_SUL!K81="","*",SP_SUL!K81)</f>
        <v>225</v>
      </c>
      <c r="O79" s="271">
        <f>IF(SP_SUL!L81="","*",SP_SUL!L81)</f>
        <v>224</v>
      </c>
      <c r="P79" s="112"/>
      <c r="Q79" s="129">
        <f>IF(SP_SUL!O81="","*",SP_SUL!O81)</f>
        <v>0.39583333333333331</v>
      </c>
      <c r="R79" s="129">
        <f>IF(SP_SUL!P81="","*",SP_SUL!P81)</f>
        <v>8.3333333333333329E-2</v>
      </c>
      <c r="S79" s="111" t="str">
        <f>IF(SP_SUL!Q81="","*",CONCATENATE(SP_SUL!Q81," ",SP_SUL!R81))</f>
        <v>480 M</v>
      </c>
      <c r="T79" s="111" t="str">
        <f>IF(SP_SUL!V81="","*",SP_SUL!V81)</f>
        <v>Saulo</v>
      </c>
      <c r="U79" s="111" t="str">
        <f>IF(SP_SUL!W81="","*",SP_SUL!W81)</f>
        <v>Serviços de socaria mecanizada</v>
      </c>
      <c r="V79" s="113">
        <f ca="1">_xlfn.XLOOKUP(G79&amp;$V$2,BS_CONTROLE[CHAVE],BS_CONTROLE[Quantidade_11],"-")</f>
        <v>0</v>
      </c>
      <c r="W79" s="113">
        <f ca="1">_xlfn.XLOOKUP(G79&amp;$W$2,BS_CONTROLE[CHAVE],BS_CONTROLE[Quantidade_11],"-")</f>
        <v>0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Oportunidade</v>
      </c>
      <c r="C80" s="110" t="str">
        <f>IF(SP_SUL!Z82="","*",SP_SUL!Z82)</f>
        <v>P1</v>
      </c>
      <c r="D80" s="111" t="str">
        <f>IF(SP_SUL!S82="","*",SP_SUL!S82)</f>
        <v>SP SUL</v>
      </c>
      <c r="E80" s="111" t="str">
        <f>IF(SP_SUL!T82="","*",SP_SUL!T82)</f>
        <v>ZBV-ZKE</v>
      </c>
      <c r="F80" s="111">
        <f>IF(SP_SUL!B82="","*",SP_SUL!B82)</f>
        <v>45995</v>
      </c>
      <c r="G80" s="111" t="str">
        <f>IF(SP_SUL!D82="","*",SP_SUL!D82)</f>
        <v>ROGÉRIO (TP-730)</v>
      </c>
      <c r="H80" s="111" t="str">
        <f>IF(SP_SUL!F82="","*",SP_SUL!F82)</f>
        <v>PDM - SUBSTITUIÇÃO - DORMENTE</v>
      </c>
      <c r="I80" s="111" t="str">
        <f>IF(SP_SUL!H82="","*",SP_SUL!H82)</f>
        <v>-</v>
      </c>
      <c r="J80" s="111" t="str">
        <f>IF(SP_SUL!I82="","*",SP_SUL!I82)</f>
        <v>-</v>
      </c>
      <c r="K80" s="111" t="str">
        <f>IF(SP_SUL!M82="","*",SP_SUL!M82)</f>
        <v>ZYU</v>
      </c>
      <c r="L80" s="111" t="str">
        <f>IF(SP_SUL!N82="","*",SP_SUL!N82)</f>
        <v>ZYU1</v>
      </c>
      <c r="M80" s="112">
        <f>IF(SP_SUL!J82="","*",SP_SUL!J82)</f>
        <v>49</v>
      </c>
      <c r="N80" s="271">
        <f>IF(SP_SUL!K82="","*",SP_SUL!K82)</f>
        <v>203.5</v>
      </c>
      <c r="O80" s="271" t="str">
        <f>IF(SP_SUL!L82="","*",SP_SUL!L82)</f>
        <v>-</v>
      </c>
      <c r="P80" s="112"/>
      <c r="Q80" s="129">
        <f>IF(SP_SUL!O82="","*",SP_SUL!O82)</f>
        <v>0.41666666666666669</v>
      </c>
      <c r="R80" s="129">
        <f>IF(SP_SUL!P82="","*",SP_SUL!P82)</f>
        <v>6.25E-2</v>
      </c>
      <c r="S80" s="111" t="str">
        <f>IF(SP_SUL!Q82="","*",CONCATENATE(SP_SUL!Q82," ",SP_SUL!R82))</f>
        <v>30 Nº DE DORMENTES</v>
      </c>
      <c r="T80" s="111" t="str">
        <f>IF(SP_SUL!V82="","*",SP_SUL!V82)</f>
        <v>Rogério</v>
      </c>
      <c r="U80" s="111" t="str">
        <f>IF(SP_SUL!W82="","*",SP_SUL!W82)</f>
        <v>Substituição de dormentes</v>
      </c>
      <c r="V80" s="113">
        <f ca="1">_xlfn.XLOOKUP(G80&amp;$V$2,BS_CONTROLE[CHAVE],BS_CONTROLE[Quantidade_11],"-")</f>
        <v>0</v>
      </c>
      <c r="W80" s="113">
        <f ca="1">_xlfn.XLOOKUP(G80&amp;$W$2,BS_CONTROLE[CHAVE],BS_CONTROLE[Quantidade_11],"-")</f>
        <v>0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Oportunidade</v>
      </c>
      <c r="C81" s="110" t="str">
        <f>IF(SP_SUL!Z83="","*",SP_SUL!Z83)</f>
        <v>P1</v>
      </c>
      <c r="D81" s="111" t="str">
        <f>IF(SP_SUL!S83="","*",SP_SUL!S83)</f>
        <v>SP SUL</v>
      </c>
      <c r="E81" s="111" t="str">
        <f>IF(SP_SUL!T83="","*",SP_SUL!T83)</f>
        <v>ZBV-ZKE</v>
      </c>
      <c r="F81" s="111">
        <f>IF(SP_SUL!B83="","*",SP_SUL!B83)</f>
        <v>45995</v>
      </c>
      <c r="G81" s="111" t="str">
        <f>IF(SP_SUL!D83="","*",SP_SUL!D83)</f>
        <v>EDSON (TP-780)</v>
      </c>
      <c r="H81" s="111" t="str">
        <f>IF(SP_SUL!F83="","*",SP_SUL!F83)</f>
        <v>PDM - SUBSTITUIÇÃO - DORMENTE</v>
      </c>
      <c r="I81" s="111" t="str">
        <f>IF(SP_SUL!H83="","*",SP_SUL!H83)</f>
        <v>-</v>
      </c>
      <c r="J81" s="111" t="str">
        <f>IF(SP_SUL!I83="","*",SP_SUL!I83)</f>
        <v>-</v>
      </c>
      <c r="K81" s="111" t="str">
        <f>IF(SP_SUL!M83="","*",SP_SUL!M83)</f>
        <v>ZYU</v>
      </c>
      <c r="L81" s="111" t="str">
        <f>IF(SP_SUL!N83="","*",SP_SUL!N83)</f>
        <v>ZYU1</v>
      </c>
      <c r="M81" s="112">
        <f>IF(SP_SUL!J83="","*",SP_SUL!J83)</f>
        <v>49</v>
      </c>
      <c r="N81" s="271">
        <f>IF(SP_SUL!K83="","*",SP_SUL!K83)</f>
        <v>203.5</v>
      </c>
      <c r="O81" s="271" t="str">
        <f>IF(SP_SUL!L83="","*",SP_SUL!L83)</f>
        <v>-</v>
      </c>
      <c r="P81" s="112"/>
      <c r="Q81" s="129">
        <f>IF(SP_SUL!O83="","*",SP_SUL!O83)</f>
        <v>0.41666666666666669</v>
      </c>
      <c r="R81" s="129">
        <f>IF(SP_SUL!P83="","*",SP_SUL!P83)</f>
        <v>6.25E-2</v>
      </c>
      <c r="S81" s="111" t="str">
        <f>IF(SP_SUL!Q83="","*",CONCATENATE(SP_SUL!Q83," ",SP_SUL!R83))</f>
        <v>30 Nº DE DORMENTES</v>
      </c>
      <c r="T81" s="111" t="str">
        <f>IF(SP_SUL!V83="","*",SP_SUL!V83)</f>
        <v>Edson</v>
      </c>
      <c r="U81" s="111" t="str">
        <f>IF(SP_SUL!W83="","*",SP_SUL!W83)</f>
        <v>Substituição de dormentes</v>
      </c>
      <c r="V81" s="113">
        <f ca="1">_xlfn.XLOOKUP(G81&amp;$V$2,BS_CONTROLE[CHAVE],BS_CONTROLE[Quantidade_11],"-")</f>
        <v>0</v>
      </c>
      <c r="W81" s="113">
        <f ca="1">_xlfn.XLOOKUP(G81&amp;$W$2,BS_CONTROLE[CHAVE],BS_CONTROLE[Quantidade_11],"-")</f>
        <v>0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Oportunidade</v>
      </c>
      <c r="C82" s="110" t="str">
        <f>IF(SP_SUL!Z84="","*",SP_SUL!Z84)</f>
        <v>P2</v>
      </c>
      <c r="D82" s="111" t="str">
        <f>IF(SP_SUL!S84="","*",SP_SUL!S84)</f>
        <v>SP SUL</v>
      </c>
      <c r="E82" s="111" t="str">
        <f>IF(SP_SUL!T84="","*",SP_SUL!T84)</f>
        <v>ZBV-ZKE</v>
      </c>
      <c r="F82" s="111">
        <f>IF(SP_SUL!B84="","*",SP_SUL!B84)</f>
        <v>45995</v>
      </c>
      <c r="G82" s="111" t="str">
        <f>IF(SP_SUL!D84="","*",SP_SUL!D84)</f>
        <v>ROBSON (TP-729)</v>
      </c>
      <c r="H82" s="111" t="str">
        <f>IF(SP_SUL!F84="","*",SP_SUL!F84)</f>
        <v>LIMPEZA LASTRO</v>
      </c>
      <c r="I82" s="111" t="str">
        <f>IF(SP_SUL!H84="","*",SP_SUL!H84)</f>
        <v>-</v>
      </c>
      <c r="J82" s="111" t="str">
        <f>IF(SP_SUL!I84="","*",SP_SUL!I84)</f>
        <v>-</v>
      </c>
      <c r="K82" s="111" t="str">
        <f>IF(SP_SUL!M84="","*",SP_SUL!M84)</f>
        <v>ZFY</v>
      </c>
      <c r="L82" s="111" t="str">
        <f>IF(SP_SUL!N84="","*",SP_SUL!N84)</f>
        <v>ZFY1982</v>
      </c>
      <c r="M82" s="112">
        <f>IF(SP_SUL!J84="","*",SP_SUL!J84)</f>
        <v>56</v>
      </c>
      <c r="N82" s="271">
        <f>IF(SP_SUL!K84="","*",SP_SUL!K84)</f>
        <v>195.5</v>
      </c>
      <c r="O82" s="271" t="str">
        <f>IF(SP_SUL!L84="","*",SP_SUL!L84)</f>
        <v>-</v>
      </c>
      <c r="P82" s="112"/>
      <c r="Q82" s="129">
        <f>IF(SP_SUL!O84="","*",SP_SUL!O84)</f>
        <v>0.41666666666666669</v>
      </c>
      <c r="R82" s="129">
        <f>IF(SP_SUL!P84="","*",SP_SUL!P84)</f>
        <v>6.25E-2</v>
      </c>
      <c r="S82" s="111" t="str">
        <f>IF(SP_SUL!Q84="","*",CONCATENATE(SP_SUL!Q84," ",SP_SUL!R84))</f>
        <v>20 M</v>
      </c>
      <c r="T82" s="111" t="str">
        <f>IF(SP_SUL!V84="","*",SP_SUL!V84)</f>
        <v>Robson</v>
      </c>
      <c r="U82" s="111" t="str">
        <f>IF(SP_SUL!W84="","*",SP_SUL!W84)</f>
        <v xml:space="preserve">Limpeza de lastro 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Oportunidade</v>
      </c>
      <c r="C83" s="110" t="str">
        <f>IF(SP_SUL!Z85="","*",SP_SUL!Z85)</f>
        <v>P3</v>
      </c>
      <c r="D83" s="111" t="str">
        <f>IF(SP_SUL!S85="","*",SP_SUL!S85)</f>
        <v>SP SUL</v>
      </c>
      <c r="E83" s="111" t="str">
        <f>IF(SP_SUL!T85="","*",SP_SUL!T85)</f>
        <v>ZBV-ZKE</v>
      </c>
      <c r="F83" s="111">
        <f>IF(SP_SUL!B85="","*",SP_SUL!B85)</f>
        <v>45995</v>
      </c>
      <c r="G83" s="111" t="str">
        <f>IF(SP_SUL!D85="","*",SP_SUL!D85)</f>
        <v>ROBSON (TF-701)</v>
      </c>
      <c r="H83" s="111" t="str">
        <f>IF(SP_SUL!F85="","*",SP_SUL!F85)</f>
        <v>PDM - SUBSTITUIÇÃO - TRILHO</v>
      </c>
      <c r="I83" s="111" t="str">
        <f>IF(SP_SUL!H85="","*",SP_SUL!H85)</f>
        <v>-</v>
      </c>
      <c r="J83" s="111" t="str">
        <f>IF(SP_SUL!I85="","*",SP_SUL!I85)</f>
        <v>-</v>
      </c>
      <c r="K83" s="111" t="str">
        <f>IF(SP_SUL!M85="","*",SP_SUL!M85)</f>
        <v>ZPS-ZAL</v>
      </c>
      <c r="L83" s="111" t="str">
        <f>IF(SP_SUL!N85="","*",SP_SUL!N85)</f>
        <v>ZPS075</v>
      </c>
      <c r="M83" s="112">
        <f>IF(SP_SUL!J85="","*",SP_SUL!J85)</f>
        <v>61</v>
      </c>
      <c r="N83" s="271">
        <f>IF(SP_SUL!K85="","*",SP_SUL!K85)</f>
        <v>73.900000000000006</v>
      </c>
      <c r="O83" s="271" t="str">
        <f>IF(SP_SUL!L85="","*",SP_SUL!L85)</f>
        <v>-</v>
      </c>
      <c r="P83" s="112"/>
      <c r="Q83" s="129">
        <f>IF(SP_SUL!O85="","*",SP_SUL!O85)</f>
        <v>0.41666666666666669</v>
      </c>
      <c r="R83" s="129">
        <f>IF(SP_SUL!P85="","*",SP_SUL!P85)</f>
        <v>8.3333333333333329E-2</v>
      </c>
      <c r="S83" s="111" t="str">
        <f>IF(SP_SUL!Q85="","*",CONCATENATE(SP_SUL!Q85," ",SP_SUL!R85))</f>
        <v>312 M</v>
      </c>
      <c r="T83" s="111" t="str">
        <f>IF(SP_SUL!V85="","*",SP_SUL!V85)</f>
        <v>Jonas</v>
      </c>
      <c r="U83" s="111" t="str">
        <f>IF(SP_SUL!W85="","*",SP_SUL!W85)</f>
        <v>Substituição de trilho - Condicionado à temperatura</v>
      </c>
      <c r="V83" s="113">
        <f ca="1">_xlfn.XLOOKUP(G83&amp;$V$2,BS_CONTROLE[CHAVE],BS_CONTROLE[Quantidade_11],"-")</f>
        <v>0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Oportunidade</v>
      </c>
      <c r="C85" s="110" t="str">
        <f>IF(SP_SUL!Z87="","*",SP_SUL!Z87)</f>
        <v>*</v>
      </c>
      <c r="D85" s="111" t="str">
        <f>IF(SP_SUL!S87="","*",SP_SUL!S87)</f>
        <v>SP SUL</v>
      </c>
      <c r="E85" s="111" t="str">
        <f>IF(SP_SUL!T87="","*",SP_SUL!T87)</f>
        <v>ZKE-ZEV</v>
      </c>
      <c r="F85" s="111">
        <f>IF(SP_SUL!B87="","*",SP_SUL!B87)</f>
        <v>45995</v>
      </c>
      <c r="G85" s="111" t="str">
        <f>IF(SP_SUL!D87="","*",SP_SUL!D87)</f>
        <v>GEOVANIO (TF-675)</v>
      </c>
      <c r="H85" s="111" t="str">
        <f>IF(SP_SUL!F87="","*",SP_SUL!F87)</f>
        <v>PDM - SUBSTITUIÇÃO - TRILHO</v>
      </c>
      <c r="I85" s="111" t="str">
        <f>IF(SP_SUL!H87="","*",SP_SUL!H87)</f>
        <v>K91ZWW1</v>
      </c>
      <c r="J85" s="111" t="str">
        <f>IF(SP_SUL!I87="","*",SP_SUL!I87)</f>
        <v>-</v>
      </c>
      <c r="K85" s="111" t="str">
        <f>IF(SP_SUL!M87="","*",SP_SUL!M87)</f>
        <v>ZWW-ZKW</v>
      </c>
      <c r="L85" s="111" t="str">
        <f>IF(SP_SUL!N87="","*",SP_SUL!N87)</f>
        <v>K91ZWW1</v>
      </c>
      <c r="M85" s="112">
        <f>IF(SP_SUL!J87="","*",SP_SUL!J87)</f>
        <v>48</v>
      </c>
      <c r="N85" s="271">
        <f>IF(SP_SUL!K87="","*",SP_SUL!K87)</f>
        <v>88.68</v>
      </c>
      <c r="O85" s="271" t="str">
        <f>IF(SP_SUL!L87="","*",SP_SUL!L87)</f>
        <v>-</v>
      </c>
      <c r="P85" s="112"/>
      <c r="Q85" s="129">
        <f>IF(SP_SUL!O87="","*",SP_SUL!O87)</f>
        <v>0.41666666666666669</v>
      </c>
      <c r="R85" s="129">
        <f>IF(SP_SUL!P87="","*",SP_SUL!P87)</f>
        <v>8.3333333333333329E-2</v>
      </c>
      <c r="S85" s="111" t="str">
        <f>IF(SP_SUL!Q87="","*",CONCATENATE(SP_SUL!Q87," ",SP_SUL!R87))</f>
        <v>15 M</v>
      </c>
      <c r="T85" s="111" t="str">
        <f>IF(SP_SUL!V87="","*",SP_SUL!V87)</f>
        <v>Santinelli</v>
      </c>
      <c r="U85" s="111" t="str">
        <f>IF(SP_SUL!W87="","*",SP_SUL!W87)</f>
        <v>Substituição de trilho - Condicionado à temperatura (80m de rebatimento)</v>
      </c>
      <c r="V85" s="113">
        <f ca="1">_xlfn.XLOOKUP(G85&amp;$V$2,BS_CONTROLE[CHAVE],BS_CONTROLE[Quantidade_11],"-")</f>
        <v>12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>
        <f>IF(SP_SUL!B88="","*",SP_SUL!B88)</f>
        <v>45995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>
        <f>IF(SP_SUL!B89="","*",SP_SUL!B89)</f>
        <v>45995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71" t="str">
        <f>IF(SP_SUL!K89="","*",SP_SUL!K89)</f>
        <v>*</v>
      </c>
      <c r="O87" s="271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>
        <f>IF(SP_SUL!B90="","*",SP_SUL!B90)</f>
        <v>45995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71" t="str">
        <f>IF(SP_SUL!K90="","*",SP_SUL!K90)</f>
        <v>*</v>
      </c>
      <c r="O88" s="271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71" t="str">
        <f>IF(SP_SUL!K91="","*",SP_SUL!K91)</f>
        <v>*</v>
      </c>
      <c r="O89" s="271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71" t="str">
        <f>IF(SP_SUL!K93="","*",SP_SUL!K93)</f>
        <v>*</v>
      </c>
      <c r="O91" s="271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71" t="str">
        <f>IF(SP_SUL!K94="","*",SP_SUL!K94)</f>
        <v>*</v>
      </c>
      <c r="O92" s="271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71" t="str">
        <f>IF(SP_SUL!K96="","*",SP_SUL!K96)</f>
        <v>*</v>
      </c>
      <c r="O94" s="271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71" t="str">
        <f>IF(SP_SUL!K97="","*",SP_SUL!K97)</f>
        <v>*</v>
      </c>
      <c r="O95" s="271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71" t="str">
        <f>IF(SP_SUL!K98="","*",SP_SUL!K98)</f>
        <v>*</v>
      </c>
      <c r="O96" s="271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71" t="str">
        <f>IF(SP_SUL!K99="","*",SP_SUL!K99)</f>
        <v>*</v>
      </c>
      <c r="O97" s="271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71" t="str">
        <f>IF(SP_SUL!K101="","*",SP_SUL!K101)</f>
        <v>*</v>
      </c>
      <c r="O99" s="271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71" t="str">
        <f>IF(SP_SUL!K103="","*",SP_SUL!K103)</f>
        <v>*</v>
      </c>
      <c r="O101" s="271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71" t="str">
        <f>IF(SP_SUL!K104="","*",SP_SUL!K104)</f>
        <v>*</v>
      </c>
      <c r="O102" s="271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1119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:XFD63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1120</v>
      </c>
      <c r="C2" s="96" t="s">
        <v>854</v>
      </c>
      <c r="D2" s="96" t="s">
        <v>856</v>
      </c>
      <c r="E2" s="96" t="s">
        <v>1121</v>
      </c>
      <c r="F2" s="96" t="s">
        <v>1122</v>
      </c>
      <c r="G2" s="96" t="s">
        <v>1123</v>
      </c>
      <c r="H2" s="96" t="s">
        <v>1124</v>
      </c>
      <c r="I2" s="96" t="s">
        <v>1125</v>
      </c>
      <c r="J2" s="96" t="s">
        <v>1126</v>
      </c>
      <c r="K2" s="132" t="s">
        <v>1127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>
        <f>IF(SP_SUL!B80="","*",SP_SUL!B80)</f>
        <v>45995</v>
      </c>
      <c r="D78" s="122" t="str">
        <f>IF(SP_SUL!D80="","*",SP_SUL!D80)</f>
        <v>W59</v>
      </c>
      <c r="E78" s="122" t="str">
        <f>IF(SP_SUL!H80="","*",SP_SUL!H80)</f>
        <v>ZYU1</v>
      </c>
      <c r="F78" s="138" t="str">
        <f>IF(SP_SUL!M80="","*",SP_SUL!M80)</f>
        <v>ZDS-ZQB</v>
      </c>
      <c r="G78" s="122" t="str">
        <f>IF(SP_SUL!I80="","*",SP_SUL!I80)</f>
        <v>ZYU1</v>
      </c>
      <c r="H78" s="122" t="str">
        <f>IF(SP_SUL!AB80="","*",SP_SUL!AB80)</f>
        <v>FIXO</v>
      </c>
      <c r="I78" s="122" t="str">
        <f>IF(SP_SUL!AC80="","*",SP_SUL!AC80)</f>
        <v>ACIONAMENTO</v>
      </c>
      <c r="J78" s="123">
        <f>IF(SP_SUL!AA80="","*",SP_SUL!AA80)</f>
        <v>1</v>
      </c>
      <c r="K78" s="135">
        <f>IF(SP_SUL!AD80="","*",SP_SUL!AD80)</f>
        <v>0.33333333333333331</v>
      </c>
    </row>
    <row r="79" spans="2:11" s="124" customFormat="1" hidden="1">
      <c r="B79" s="121" t="str">
        <f>IF(SP_SUL!Y81="","*",SP_SUL!Y81)</f>
        <v>*</v>
      </c>
      <c r="C79" s="122">
        <f>IF(SP_SUL!B81="","*",SP_SUL!B81)</f>
        <v>45995</v>
      </c>
      <c r="D79" s="122" t="str">
        <f>IF(SP_SUL!D81="","*",SP_SUL!D81)</f>
        <v>V89</v>
      </c>
      <c r="E79" s="122" t="str">
        <f>IF(SP_SUL!H81="","*",SP_SUL!H81)</f>
        <v>ZYU1</v>
      </c>
      <c r="F79" s="138" t="str">
        <f>IF(SP_SUL!M81="","*",SP_SUL!M81)</f>
        <v>ZXI-ZVK</v>
      </c>
      <c r="G79" s="122" t="str">
        <f>IF(SP_SUL!I81="","*",SP_SUL!I81)</f>
        <v>ZYU1</v>
      </c>
      <c r="H79" s="122" t="str">
        <f>IF(SP_SUL!AB81="","*",SP_SUL!AB81)</f>
        <v>FIXO</v>
      </c>
      <c r="I79" s="122" t="str">
        <f>IF(SP_SUL!AC81="","*",SP_SUL!AC81)</f>
        <v>ACIONAMENTO</v>
      </c>
      <c r="J79" s="123">
        <f>IF(SP_SUL!AA81="","*",SP_SUL!AA81)</f>
        <v>1</v>
      </c>
      <c r="K79" s="135">
        <f>IF(SP_SUL!AD81="","*",SP_SUL!AD81)</f>
        <v>0.33333333333333331</v>
      </c>
    </row>
    <row r="80" spans="2:11" s="124" customFormat="1" hidden="1">
      <c r="B80" s="121" t="str">
        <f>IF(SP_SUL!Y82="","*",SP_SUL!Y82)</f>
        <v>*</v>
      </c>
      <c r="C80" s="122">
        <f>IF(SP_SUL!B82="","*",SP_SUL!B82)</f>
        <v>45995</v>
      </c>
      <c r="D80" s="122" t="str">
        <f>IF(SP_SUL!D82="","*",SP_SUL!D82)</f>
        <v>ROGÉRIO (TP-730)</v>
      </c>
      <c r="E80" s="122" t="str">
        <f>IF(SP_SUL!H82="","*",SP_SUL!H82)</f>
        <v>-</v>
      </c>
      <c r="F80" s="138" t="str">
        <f>IF(SP_SUL!M82="","*",SP_SUL!M82)</f>
        <v>ZYU</v>
      </c>
      <c r="G80" s="122" t="str">
        <f>IF(SP_SUL!I82="","*",SP_SUL!I82)</f>
        <v>-</v>
      </c>
      <c r="H80" s="122" t="str">
        <f>IF(SP_SUL!AB82="","*",SP_SUL!AB82)</f>
        <v>-</v>
      </c>
      <c r="I80" s="122" t="str">
        <f>IF(SP_SUL!AC82="","*",SP_SUL!AC82)</f>
        <v>-</v>
      </c>
      <c r="J80" s="123" t="str">
        <f>IF(SP_SUL!AA82="","*",SP_SUL!AA82)</f>
        <v>-</v>
      </c>
      <c r="K80" s="135" t="str">
        <f>IF(SP_SUL!AD82="","*",SP_SUL!AD82)</f>
        <v>-</v>
      </c>
    </row>
    <row r="81" spans="2:11" s="124" customFormat="1" hidden="1">
      <c r="B81" s="121" t="str">
        <f>IF(SP_SUL!Y83="","*",SP_SUL!Y83)</f>
        <v>*</v>
      </c>
      <c r="C81" s="122">
        <f>IF(SP_SUL!B83="","*",SP_SUL!B83)</f>
        <v>45995</v>
      </c>
      <c r="D81" s="122" t="str">
        <f>IF(SP_SUL!D83="","*",SP_SUL!D83)</f>
        <v>EDSON (TP-780)</v>
      </c>
      <c r="E81" s="122" t="str">
        <f>IF(SP_SUL!H83="","*",SP_SUL!H83)</f>
        <v>-</v>
      </c>
      <c r="F81" s="138" t="str">
        <f>IF(SP_SUL!M83="","*",SP_SUL!M83)</f>
        <v>ZYU</v>
      </c>
      <c r="G81" s="122" t="str">
        <f>IF(SP_SUL!I83="","*",SP_SUL!I83)</f>
        <v>-</v>
      </c>
      <c r="H81" s="122" t="str">
        <f>IF(SP_SUL!AB83="","*",SP_SUL!AB83)</f>
        <v>-</v>
      </c>
      <c r="I81" s="122" t="str">
        <f>IF(SP_SUL!AC83="","*",SP_SUL!AC83)</f>
        <v>-</v>
      </c>
      <c r="J81" s="123" t="str">
        <f>IF(SP_SUL!AA83="","*",SP_SUL!AA83)</f>
        <v>-</v>
      </c>
      <c r="K81" s="135" t="str">
        <f>IF(SP_SUL!AD83="","*",SP_SUL!AD83)</f>
        <v>-</v>
      </c>
    </row>
    <row r="82" spans="2:11" s="124" customFormat="1" hidden="1">
      <c r="B82" s="121" t="str">
        <f>IF(SP_SUL!Y84="","*",SP_SUL!Y84)</f>
        <v>*</v>
      </c>
      <c r="C82" s="122">
        <f>IF(SP_SUL!B84="","*",SP_SUL!B84)</f>
        <v>45995</v>
      </c>
      <c r="D82" s="122" t="str">
        <f>IF(SP_SUL!D84="","*",SP_SUL!D84)</f>
        <v>ROBSON (TP-729)</v>
      </c>
      <c r="E82" s="122" t="str">
        <f>IF(SP_SUL!H84="","*",SP_SUL!H84)</f>
        <v>-</v>
      </c>
      <c r="F82" s="138" t="str">
        <f>IF(SP_SUL!M84="","*",SP_SUL!M84)</f>
        <v>ZFY</v>
      </c>
      <c r="G82" s="122" t="str">
        <f>IF(SP_SUL!I84="","*",SP_SUL!I84)</f>
        <v>-</v>
      </c>
      <c r="H82" s="122" t="str">
        <f>IF(SP_SUL!AB84="","*",SP_SUL!AB84)</f>
        <v>-</v>
      </c>
      <c r="I82" s="122" t="str">
        <f>IF(SP_SUL!AC84="","*",SP_SUL!AC84)</f>
        <v>-</v>
      </c>
      <c r="J82" s="123" t="str">
        <f>IF(SP_SUL!AA84="","*",SP_SUL!AA84)</f>
        <v>-</v>
      </c>
      <c r="K82" s="135" t="str">
        <f>IF(SP_SUL!AD84="","*",SP_SUL!AD84)</f>
        <v>-</v>
      </c>
    </row>
    <row r="83" spans="2:11" s="124" customFormat="1" hidden="1">
      <c r="B83" s="121" t="str">
        <f>IF(SP_SUL!Y85="","*",SP_SUL!Y85)</f>
        <v>*</v>
      </c>
      <c r="C83" s="122">
        <f>IF(SP_SUL!B85="","*",SP_SUL!B85)</f>
        <v>45995</v>
      </c>
      <c r="D83" s="122" t="str">
        <f>IF(SP_SUL!D85="","*",SP_SUL!D85)</f>
        <v>ROBSON (TF-701)</v>
      </c>
      <c r="E83" s="122" t="str">
        <f>IF(SP_SUL!H85="","*",SP_SUL!H85)</f>
        <v>-</v>
      </c>
      <c r="F83" s="138" t="str">
        <f>IF(SP_SUL!M85="","*",SP_SUL!M85)</f>
        <v>ZPS-ZAL</v>
      </c>
      <c r="G83" s="122" t="str">
        <f>IF(SP_SUL!I85="","*",SP_SUL!I85)</f>
        <v>-</v>
      </c>
      <c r="H83" s="122" t="str">
        <f>IF(SP_SUL!AB85="","*",SP_SUL!AB85)</f>
        <v>-</v>
      </c>
      <c r="I83" s="122" t="str">
        <f>IF(SP_SUL!AC85="","*",SP_SUL!AC85)</f>
        <v>-</v>
      </c>
      <c r="J83" s="123" t="str">
        <f>IF(SP_SUL!AA85="","*",SP_SUL!AA85)</f>
        <v>-</v>
      </c>
      <c r="K83" s="135" t="str">
        <f>IF(SP_SUL!AD85="","*",SP_SUL!AD85)</f>
        <v>-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>
        <f>IF(SP_SUL!B87="","*",SP_SUL!B87)</f>
        <v>45995</v>
      </c>
      <c r="D85" s="122" t="str">
        <f>IF(SP_SUL!D87="","*",SP_SUL!D87)</f>
        <v>GEOVANIO (TF-675)</v>
      </c>
      <c r="E85" s="122" t="str">
        <f>IF(SP_SUL!H87="","*",SP_SUL!H87)</f>
        <v>K91ZWW1</v>
      </c>
      <c r="F85" s="138" t="str">
        <f>IF(SP_SUL!M87="","*",SP_SUL!M87)</f>
        <v>ZWW-ZKW</v>
      </c>
      <c r="G85" s="122" t="str">
        <f>IF(SP_SUL!I87="","*",SP_SUL!I87)</f>
        <v>-</v>
      </c>
      <c r="H85" s="122" t="str">
        <f>IF(SP_SUL!AB87="","*",SP_SUL!AB87)</f>
        <v>-</v>
      </c>
      <c r="I85" s="122" t="str">
        <f>IF(SP_SUL!AC87="","*",SP_SUL!AC87)</f>
        <v>-</v>
      </c>
      <c r="J85" s="123" t="str">
        <f>IF(SP_SUL!AA87="","*",SP_SUL!AA87)</f>
        <v>-</v>
      </c>
      <c r="K85" s="135" t="str">
        <f>IF(SP_SUL!AD87="","*",SP_SUL!AD87)</f>
        <v>-</v>
      </c>
    </row>
    <row r="86" spans="2:11" s="124" customFormat="1" hidden="1">
      <c r="B86" s="121" t="str">
        <f>IF(SP_SUL!Y88="","*",SP_SUL!Y88)</f>
        <v>*</v>
      </c>
      <c r="C86" s="122">
        <f>IF(SP_SUL!B88="","*",SP_SUL!B88)</f>
        <v>45995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>
        <f>IF(SP_SUL!B89="","*",SP_SUL!B89)</f>
        <v>45995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>
        <f>IF(SP_SUL!B90="","*",SP_SUL!B90)</f>
        <v>45995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2025-12-03T17:17:09Z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