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75" documentId="120_S{118792C3-22EF-5104-A093-F22BFE3913F3}" xr6:coauthVersionLast="47" xr6:coauthVersionMax="47" xr10:uidLastSave="{69BD13EC-0CC7-4D0A-A445-4B63EA414E2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4" i="1" l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29" i="15" l="1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<sst xmlns="http://schemas.openxmlformats.org/spreadsheetml/2006/main" count="5960" uniqueCount="1429">
  <si>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</si>
  <si>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</si>
  <si>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</si>
  <si>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</si>
  <si>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</si>
  <si>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</si>
  <si>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</si>
  <si>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</si>
  <si>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</si>
  <si>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</si>
  <si>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</si>
  <si>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</si>
  <si>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</si>
  <si>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</si>
  <si>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</si>
  <si>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</si>
  <si>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</si>
  <si>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</si>
  <si>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</si>
  <si>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</si>
  <si>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</si>
  <si>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</si>
  <si>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</si>
  <si>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</si>
  <si>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</si>
  <si>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</si>
  <si>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</si>
  <si>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</si>
  <si>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</si>
  <si>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</si>
  <si>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</si>
  <si>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</si>
  <si>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</si>
  <si>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</si>
  <si>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</si>
  <si>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</si>
  <si>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</si>
  <si>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</si>
  <si>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</si>
  <si>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</si>
  <si>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</si>
  <si>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</si>
  <si>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</si>
  <si>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</si>
  <si>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</si>
  <si>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</si>
  <si>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</si>
  <si>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</si>
  <si>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</si>
  <si>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</si>
  <si>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</si>
  <si>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</si>
  <si>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</si>
  <si>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</si>
  <si>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</si>
  <si>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</si>
  <si>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</si>
  <si>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</si>
  <si>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</si>
  <si>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</si>
  <si>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</si>
  <si>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</si>
  <si>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</si>
  <si>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</si>
  <si>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</si>
  <si>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</si>
  <si>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</si>
  <si>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</si>
  <si>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</si>
  <si>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</si>
  <si>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</si>
  <si>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</si>
  <si>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</si>
  <si>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</si>
  <si>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</si>
  <si>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</si>
  <si>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</si>
  <si>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</si>
  <si>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</si>
  <si>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</si>
  <si>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</si>
  <si>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</si>
  <si>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</si>
  <si>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</si>
  <si>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</si>
  <si>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</si>
  <si>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</si>
  <si>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</si>
  <si>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</si>
  <si>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</si>
  <si>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</si>
  <si>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</si>
  <si>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</si>
  <si>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</si>
  <si>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</si>
  <si>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</si>
  <si>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</si>
  <si>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</si>
  <si>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</si>
  <si>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</si>
  <si>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</si>
  <si>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</si>
  <si>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</si>
  <si>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</si>
  <si>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</si>
  <si>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</si>
  <si>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</si>
  <si>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</si>
  <si>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</si>
  <si>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</si>
  <si>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</si>
  <si>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</si>
  <si>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</si>
  <si>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</si>
  <si>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</si>
  <si>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</si>
  <si>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</si>
  <si>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</si>
  <si>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</si>
  <si>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</si>
  <si>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</si>
  <si>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</si>
  <si>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</si>
  <si>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</si>
  <si>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</si>
  <si>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</si>
  <si>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</si>
  <si>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</si>
  <si>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</si>
  <si>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</si>
  <si>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</si>
  <si>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</si>
  <si>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</si>
  <si>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</si>
  <si>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</si>
  <si>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</si>
  <si>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</si>
  <si>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</si>
  <si>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</si>
  <si>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</si>
  <si>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</si>
  <si>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</si>
  <si>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</si>
  <si>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</si>
  <si>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</si>
  <si>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</si>
  <si>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</si>
  <si>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</si>
  <si>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</si>
  <si>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</si>
  <si>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</si>
  <si>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</si>
  <si>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</si>
  <si>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</si>
  <si>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</si>
  <si>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</si>
  <si>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</si>
  <si>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</si>
  <si>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</si>
  <si>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</si>
  <si>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</si>
  <si>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</si>
  <si>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</si>
  <si>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</si>
  <si>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</si>
  <si>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</si>
  <si>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</si>
  <si>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</si>
  <si>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</si>
  <si>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</si>
  <si>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</si>
  <si>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</si>
  <si>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</si>
  <si>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</si>
  <si>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</si>
  <si>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</si>
  <si>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</si>
  <si>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</si>
  <si>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</si>
  <si>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</si>
  <si>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</si>
  <si>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</si>
  <si>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</si>
  <si>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</si>
  <si>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</si>
  <si>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</si>
  <si>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</si>
  <si>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</si>
  <si>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</si>
  <si>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</si>
  <si>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</si>
  <si>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</si>
  <si>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</si>
  <si>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</si>
  <si>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</si>
  <si>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</si>
  <si>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</si>
  <si>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</si>
  <si>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</si>
  <si>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</si>
  <si>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</si>
  <si>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</si>
  <si>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</si>
  <si>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</si>
  <si>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</si>
  <si>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</si>
  <si>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</si>
  <si>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</si>
  <si>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</si>
  <si>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</si>
  <si>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</si>
  <si>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</si>
  <si>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</si>
  <si>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</si>
  <si>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</si>
  <si>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</si>
  <si>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</si>
  <si>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</si>
  <si>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</si>
  <si>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</si>
  <si>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</si>
  <si>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</si>
  <si>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</si>
  <si>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</si>
  <si>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</si>
  <si>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</si>
  <si>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</si>
  <si>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</si>
  <si>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</si>
  <si>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</si>
  <si>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</si>
  <si>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</si>
  <si>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</si>
  <si>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</si>
  <si>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</si>
  <si>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</si>
  <si>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</si>
  <si>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</si>
  <si>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</si>
  <si>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</si>
  <si>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</si>
  <si>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</si>
  <si>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</si>
  <si>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</si>
  <si>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</si>
  <si>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</si>
  <si>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</si>
  <si>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</si>
  <si>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</si>
  <si>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</si>
  <si>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</si>
  <si>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</si>
  <si>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</si>
  <si>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</si>
  <si>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</si>
  <si>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</si>
  <si>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</si>
  <si>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</si>
  <si>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</si>
  <si>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</si>
  <si>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</si>
  <si>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</si>
  <si>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</si>
  <si>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</si>
  <si>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</si>
  <si>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</si>
  <si>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</si>
  <si>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</si>
  <si>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</si>
  <si>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</si>
  <si>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</si>
  <si>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</si>
  <si>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</si>
  <si>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</si>
  <si>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</si>
  <si>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</si>
  <si>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</si>
  <si>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</si>
  <si>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</si>
  <si>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</si>
  <si>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</si>
  <si>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</si>
  <si>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</si>
  <si>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</si>
  <si>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</si>
  <si>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</si>
  <si>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</si>
  <si>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</si>
  <si>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</si>
  <si>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</si>
  <si>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</si>
  <si>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</si>
  <si>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</si>
  <si>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</si>
  <si>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</si>
  <si>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</si>
  <si>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</si>
  <si>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</si>
  <si>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</si>
  <si>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</si>
  <si>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</si>
  <si>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</si>
  <si>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</si>
  <si>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</si>
  <si>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</si>
  <si>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</si>
  <si>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</si>
  <si>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</si>
  <si>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</si>
  <si>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</si>
  <si>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</si>
  <si>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</si>
  <si>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</si>
  <si>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</si>
  <si>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</si>
  <si>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</si>
  <si>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</si>
  <si>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</si>
  <si>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</si>
  <si>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</si>
  <si>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</si>
  <si>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</si>
  <si>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</si>
  <si>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</si>
  <si>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</si>
  <si>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</si>
  <si>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</si>
  <si>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</si>
  <si>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</si>
  <si>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</si>
  <si>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</si>
  <si>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</si>
  <si>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</si>
  <si>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</si>
  <si>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</si>
  <si>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</si>
  <si>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</si>
  <si>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</si>
  <si>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</si>
  <si>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</si>
  <si>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</si>
  <si>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</si>
  <si>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</si>
  <si>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</si>
  <si>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</si>
  <si>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</si>
  <si>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</si>
  <si>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</si>
  <si>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</si>
  <si>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</si>
  <si>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</si>
  <si>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</si>
  <si>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</si>
  <si>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</si>
  <si>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</si>
  <si>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</si>
  <si>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</si>
  <si>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</si>
  <si>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</si>
  <si>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</si>
  <si>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</si>
  <si>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</si>
  <si>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</si>
  <si>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</si>
  <si>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</si>
  <si>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</si>
  <si>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</si>
  <si>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</si>
  <si>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</si>
  <si>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</si>
  <si>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</si>
  <si>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</si>
  <si>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</si>
  <si>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</si>
  <si>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</si>
  <si>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</si>
  <si>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</si>
  <si>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</si>
  <si>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</si>
  <si>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</si>
  <si>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</si>
  <si>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</si>
  <si>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</si>
  <si>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</si>
  <si>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</si>
  <si>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</si>
  <si>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</si>
  <si>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</si>
  <si>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</si>
  <si>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</si>
  <si>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</si>
  <si>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</si>
  <si>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</si>
  <si>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</si>
  <si>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</si>
  <si>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</si>
  <si>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</si>
  <si>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</si>
  <si>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</si>
  <si>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</si>
  <si>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</si>
  <si>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</si>
  <si>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</si>
  <si>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</si>
  <si>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</si>
  <si>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</si>
  <si>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</si>
  <si>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</si>
  <si>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</si>
  <si>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</si>
  <si>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</si>
  <si>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</si>
  <si>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</si>
  <si>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</si>
  <si>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</si>
  <si>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</si>
  <si>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</si>
  <si>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</si>
  <si>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</si>
  <si>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</si>
  <si>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</si>
  <si>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</si>
  <si>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</si>
  <si>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</si>
  <si>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</si>
  <si>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</si>
  <si>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</si>
  <si>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</si>
  <si>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</si>
  <si>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</si>
  <si>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</si>
  <si>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</si>
  <si>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</si>
  <si>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</si>
  <si>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</si>
  <si>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</si>
  <si>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</si>
  <si>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</si>
  <si>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</si>
  <si>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</si>
  <si>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</si>
  <si>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</si>
  <si>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</si>
  <si>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</si>
  <si>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</si>
  <si>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</si>
  <si>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</si>
  <si>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</si>
  <si>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</si>
  <si>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</si>
  <si>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</si>
  <si>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</si>
  <si>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</si>
  <si>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</si>
  <si>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</si>
  <si>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</si>
  <si>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</si>
  <si>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</si>
  <si>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</si>
  <si>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</si>
  <si>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</si>
  <si>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</si>
  <si>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</si>
  <si>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</si>
  <si>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</si>
  <si>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</si>
  <si>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</si>
  <si>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</si>
  <si>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</si>
  <si>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</si>
  <si>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</si>
  <si>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</si>
  <si>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</si>
  <si>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</si>
  <si>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</si>
  <si>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</si>
  <si>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</si>
  <si>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</si>
  <si>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</si>
  <si>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</si>
  <si>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</si>
  <si>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</si>
  <si>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</si>
  <si>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</si>
  <si>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</si>
  <si>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</si>
  <si>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</si>
  <si>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</si>
  <si>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</si>
  <si>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</si>
  <si>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</si>
  <si>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</si>
  <si>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</si>
  <si>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</si>
  <si>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</si>
  <si>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</si>
  <si>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</si>
  <si>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</si>
  <si>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</si>
  <si>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</si>
  <si>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</si>
  <si>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</si>
  <si>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</si>
  <si>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</si>
  <si>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</si>
  <si>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</si>
  <si>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</si>
  <si>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</si>
  <si>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</si>
  <si>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</si>
  <si>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</si>
  <si>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</si>
  <si>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</si>
  <si>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</si>
  <si>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</si>
  <si>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</si>
  <si>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</si>
  <si>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</si>
  <si>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</si>
  <si>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</si>
  <si>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</si>
  <si>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</si>
  <si>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</si>
  <si>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</si>
  <si>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</si>
  <si>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</si>
  <si>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</si>
  <si>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</si>
  <si>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</si>
  <si>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</si>
  <si>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</si>
  <si>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</si>
  <si>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</si>
  <si>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</si>
  <si>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</si>
  <si>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</si>
  <si>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</si>
  <si>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</si>
  <si>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</si>
  <si>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</si>
  <si>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</si>
  <si>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</si>
  <si>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</si>
  <si>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</si>
  <si>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</si>
  <si>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</si>
  <si>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</si>
  <si>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</si>
  <si>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</si>
  <si>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</si>
  <si>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</si>
  <si>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</si>
  <si>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</si>
  <si>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</si>
  <si>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</si>
  <si>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</si>
  <si>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</si>
  <si>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</si>
  <si>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</si>
  <si>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</si>
  <si>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</si>
  <si>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</si>
  <si>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</si>
  <si>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</si>
  <si>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</si>
  <si>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</si>
  <si>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</si>
  <si>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</si>
  <si>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</si>
  <si>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</si>
  <si>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</si>
  <si>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</si>
  <si>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</si>
  <si>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</si>
  <si>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</si>
  <si>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</si>
  <si>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</si>
  <si>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</si>
  <si>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</si>
  <si>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</si>
  <si>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</si>
  <si>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</si>
  <si>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</si>
  <si>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</si>
  <si>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</si>
  <si>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</si>
  <si>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</si>
  <si>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</si>
  <si>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</si>
  <si>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</si>
  <si>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</si>
  <si>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</si>
  <si>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</si>
  <si>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</si>
  <si>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</si>
  <si>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</si>
  <si>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</si>
  <si>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</si>
  <si>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</si>
  <si>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</si>
  <si>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</si>
  <si>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</si>
  <si>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</si>
  <si>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</si>
  <si>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</si>
  <si>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</si>
  <si>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</si>
  <si>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</si>
  <si>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</si>
  <si>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</si>
  <si>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</si>
  <si>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</si>
  <si>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</si>
  <si>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</si>
  <si>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</si>
  <si>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</si>
  <si>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</si>
  <si>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</si>
  <si>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</si>
  <si>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</si>
  <si>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</si>
  <si>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</si>
  <si>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</si>
  <si>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</si>
  <si>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</si>
  <si>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</si>
  <si>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</si>
  <si>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</si>
  <si>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</si>
  <si>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</si>
  <si>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</si>
  <si>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</si>
  <si>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</si>
  <si>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</si>
  <si>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</si>
  <si>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</si>
  <si>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</si>
  <si>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</si>
  <si>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</si>
  <si>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</si>
  <si>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</si>
  <si>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</si>
  <si>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</si>
  <si>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</si>
  <si>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</si>
  <si>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</si>
  <si>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</si>
  <si>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</si>
  <si>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</si>
  <si>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</si>
  <si>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</si>
  <si>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</si>
  <si>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</si>
  <si>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</si>
  <si>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</si>
  <si>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</si>
  <si>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</si>
  <si>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</si>
  <si>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</si>
  <si>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</si>
  <si>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</si>
  <si>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</si>
  <si>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</si>
  <si>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</si>
  <si>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</si>
  <si>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</si>
  <si>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</si>
  <si>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</si>
  <si>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</si>
  <si>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</si>
  <si>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</si>
  <si>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</si>
  <si>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</si>
  <si>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</si>
  <si>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</si>
  <si>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</si>
  <si>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</si>
  <si>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</si>
  <si>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</si>
  <si>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</si>
  <si>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</si>
  <si>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</si>
  <si>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</si>
  <si>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</si>
  <si>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</si>
  <si>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</si>
  <si>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</si>
  <si>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</si>
  <si>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</si>
  <si>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</si>
  <si>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</si>
  <si>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</si>
  <si>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</si>
  <si>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</si>
  <si>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</si>
  <si>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</si>
  <si>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</si>
  <si>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</si>
  <si>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</si>
  <si>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</si>
  <si>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</si>
  <si>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</si>
  <si>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</si>
  <si>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</si>
  <si>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</si>
  <si>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</si>
  <si>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</si>
  <si>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</si>
  <si>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</si>
  <si>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</si>
  <si>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</si>
  <si>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</si>
  <si>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</si>
  <si>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</si>
  <si>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</si>
  <si>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</si>
  <si>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</si>
  <si>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</si>
  <si>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</si>
  <si>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</si>
  <si>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</si>
  <si>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</si>
  <si>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</si>
  <si>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</si>
  <si>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</si>
  <si>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</si>
  <si>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</si>
  <si>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</si>
  <si>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</si>
  <si>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</si>
  <si>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</si>
  <si>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</si>
  <si>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</si>
  <si>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</si>
  <si>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</si>
  <si>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</si>
  <si>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</si>
  <si>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</si>
  <si>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</si>
  <si>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</si>
  <si>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</si>
  <si>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</si>
  <si>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</si>
  <si>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</si>
  <si>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</si>
  <si>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</si>
  <si>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</si>
  <si>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</si>
  <si>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</si>
  <si>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</si>
  <si>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</si>
  <si>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</si>
  <si>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</si>
  <si>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</si>
  <si>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</si>
  <si>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</si>
  <si>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</si>
  <si>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</si>
  <si>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</si>
  <si>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</si>
  <si>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</si>
  <si>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</si>
  <si>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</si>
  <si>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</si>
  <si>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</si>
  <si>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</si>
  <si>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</si>
  <si>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</si>
  <si>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</si>
  <si>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</si>
  <si>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</si>
  <si>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</si>
  <si>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</si>
  <si>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</si>
  <si>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</si>
  <si>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</si>
  <si>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</si>
  <si>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</si>
  <si>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</si>
  <si>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</si>
  <si>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</si>
  <si>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</si>
  <si>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</si>
  <si>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</si>
  <si>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</si>
  <si>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</si>
  <si>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</si>
  <si>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</si>
  <si>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</si>
  <si>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</si>
  <si>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</si>
  <si>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</si>
  <si>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</si>
  <si>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</si>
  <si>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</si>
  <si>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</si>
  <si>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</si>
  <si>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</si>
  <si>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</si>
  <si>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</si>
  <si>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</si>
  <si>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</si>
  <si>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</si>
  <si>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</si>
  <si>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</si>
  <si>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</si>
  <si>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</si>
  <si>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</si>
  <si>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</si>
  <si>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</si>
  <si>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</si>
  <si>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</si>
  <si>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</si>
  <si>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</si>
  <si>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</si>
  <si>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</si>
  <si>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</si>
  <si>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</si>
  <si>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</si>
  <si>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</si>
  <si>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</si>
  <si>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</si>
  <si>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</si>
  <si>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</si>
  <si>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</si>
  <si>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</si>
  <si>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</si>
  <si>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</si>
  <si>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</si>
  <si>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</si>
  <si>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</si>
  <si>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</si>
  <si>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</si>
  <si>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</si>
  <si>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</si>
  <si>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</si>
  <si>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</si>
  <si>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</si>
  <si>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</si>
  <si>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</si>
  <si>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</si>
  <si>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</si>
  <si>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</si>
  <si>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</si>
  <si>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</si>
  <si>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</si>
  <si>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</si>
  <si>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</si>
  <si>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</si>
  <si>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</si>
  <si>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</si>
  <si>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</si>
  <si>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</si>
  <si>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</si>
  <si>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</si>
  <si>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</si>
  <si>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</si>
  <si>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</si>
  <si>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</si>
  <si>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</si>
  <si>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</si>
  <si>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</si>
  <si>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</si>
  <si>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</si>
  <si>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</si>
  <si>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</si>
  <si>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</si>
  <si>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</si>
  <si>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</si>
  <si>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</si>
  <si>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</si>
  <si>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</si>
  <si>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</si>
  <si>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</si>
  <si>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</si>
  <si>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</si>
  <si>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</si>
  <si>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</si>
  <si>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</si>
  <si>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</si>
  <si>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</si>
  <si>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</si>
  <si>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</si>
  <si>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</si>
  <si>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</si>
  <si>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</si>
  <si>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</si>
  <si>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</si>
  <si>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</si>
  <si>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</si>
  <si>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</si>
  <si>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</si>
  <si>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</si>
  <si>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</si>
  <si>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</si>
  <si>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</si>
  <si>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</si>
  <si>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</si>
  <si>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</si>
  <si>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</si>
  <si>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</si>
  <si>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</si>
  <si>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</si>
  <si>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</si>
  <si>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</si>
  <si>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</si>
  <si>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</si>
  <si>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</si>
  <si>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</si>
  <si>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</si>
  <si>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</si>
  <si>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</si>
  <si>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</si>
  <si>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</si>
  <si>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</si>
  <si>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</si>
  <si>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</si>
  <si>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</si>
  <si>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</si>
  <si>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</si>
  <si>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</si>
  <si>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</si>
  <si>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</si>
  <si>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</si>
  <si>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</si>
  <si>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</si>
  <si>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</si>
  <si>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</si>
  <si>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</si>
  <si>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</si>
  <si>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</si>
  <si>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</si>
  <si>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</si>
  <si>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</si>
  <si>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</si>
  <si>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</si>
  <si>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</si>
  <si>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</si>
  <si>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</si>
  <si>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</si>
  <si>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</si>
  <si>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</si>
  <si>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</si>
  <si>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</si>
  <si>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</si>
  <si>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</si>
  <si>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</si>
  <si>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</si>
  <si>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</si>
  <si>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</si>
  <si>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</si>
  <si>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</si>
  <si>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</si>
  <si>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</si>
  <si>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</si>
  <si>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</si>
  <si>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</si>
  <si>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</si>
  <si>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</si>
  <si>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</si>
  <si>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</si>
  <si>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</si>
  <si>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</si>
  <si>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</si>
  <si>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</si>
  <si>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</si>
  <si>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</si>
  <si>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</si>
  <si>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</si>
  <si>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</si>
  <si>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</si>
  <si>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</si>
  <si>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</si>
  <si>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</si>
  <si>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</si>
  <si>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</si>
  <si>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</si>
  <si>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</si>
  <si>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</si>
  <si>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</si>
  <si>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</si>
  <si>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</si>
  <si>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</si>
  <si>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</si>
  <si>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</si>
  <si>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</si>
  <si>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</si>
  <si>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</si>
  <si>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</si>
  <si>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</si>
  <si>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</si>
  <si>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</si>
  <si>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</si>
  <si>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</si>
  <si>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</si>
  <si>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</si>
  <si>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</si>
  <si>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</si>
  <si>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</si>
  <si>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</si>
  <si>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</si>
  <si>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</si>
  <si>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</si>
  <si>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</si>
  <si>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</si>
  <si>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</si>
  <si>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</si>
  <si>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</si>
  <si>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</si>
  <si>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</si>
  <si>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</si>
  <si>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</si>
  <si>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</si>
  <si>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</si>
  <si>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</si>
  <si>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</si>
  <si>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</si>
  <si>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</si>
  <si>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</si>
  <si>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</si>
  <si>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</si>
  <si>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</si>
  <si>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</si>
  <si>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</si>
  <si>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</si>
  <si>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</si>
  <si>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</si>
  <si>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</si>
  <si>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</si>
  <si>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</si>
  <si>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</si>
  <si>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</si>
  <si>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</si>
  <si>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</si>
  <si>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</si>
  <si>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</si>
  <si>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</si>
  <si>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</si>
  <si>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</si>
  <si>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</si>
  <si>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</si>
  <si>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</si>
  <si>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</si>
  <si>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</si>
  <si>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</si>
  <si>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</si>
  <si>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</si>
  <si>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</si>
  <si>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</si>
  <si>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</si>
  <si>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</si>
  <si>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</si>
  <si>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</si>
  <si>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</si>
  <si>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</si>
  <si>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</si>
  <si>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</si>
  <si>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</si>
  <si>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</si>
  <si>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</si>
  <si>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</si>
  <si>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</si>
  <si>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</si>
  <si>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</si>
  <si>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</si>
  <si>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</si>
  <si>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</si>
  <si>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</si>
  <si>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</si>
  <si>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</si>
  <si>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</si>
  <si>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</si>
  <si>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</si>
  <si>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</si>
  <si>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</si>
  <si>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</si>
  <si>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</si>
  <si>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</si>
  <si>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</si>
  <si>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</si>
  <si>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</si>
  <si>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</si>
  <si>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</si>
  <si>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</si>
  <si>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</si>
  <si>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</si>
  <si>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</si>
  <si>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</si>
  <si>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</si>
  <si>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</si>
  <si>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</si>
  <si>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</si>
  <si>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</si>
  <si>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</si>
  <si>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</si>
  <si>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</si>
  <si>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</si>
  <si>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</si>
  <si>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</si>
  <si>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</si>
  <si>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</si>
  <si>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</si>
  <si>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</si>
  <si>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</si>
  <si>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</si>
  <si>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</si>
  <si>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</si>
  <si>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</si>
  <si>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</si>
  <si>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</si>
  <si>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</si>
  <si>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</si>
  <si>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</si>
  <si>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</si>
  <si>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</si>
  <si>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</si>
  <si>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</si>
  <si>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</si>
  <si>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</si>
  <si>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</si>
  <si>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</si>
  <si>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</si>
  <si>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</si>
  <si>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</si>
  <si>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</si>
  <si>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</si>
  <si>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</si>
  <si>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</si>
  <si>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</si>
  <si>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</si>
  <si>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</si>
  <si>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</si>
  <si>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</si>
  <si>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</si>
  <si>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</si>
  <si>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</si>
  <si>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</si>
  <si>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</si>
  <si>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</si>
  <si>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</si>
  <si>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</si>
  <si>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</si>
  <si>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</si>
  <si>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</si>
  <si>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</si>
  <si>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</si>
  <si>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</si>
  <si>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</si>
  <si>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</si>
  <si>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</si>
  <si>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</si>
  <si>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</si>
  <si>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</si>
  <si>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</si>
  <si>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</si>
  <si>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</si>
  <si>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</si>
  <si>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</si>
  <si>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</si>
  <si>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</si>
  <si>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</si>
  <si>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</si>
  <si>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</si>
  <si>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</si>
  <si>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</si>
  <si>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</si>
  <si>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</si>
  <si>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</si>
  <si>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</si>
  <si>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</si>
  <si>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</si>
  <si>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</si>
  <si>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</si>
  <si>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</si>
  <si>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</si>
  <si>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</si>
  <si>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</si>
  <si>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</si>
  <si>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</si>
  <si>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</si>
  <si>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</si>
  <si>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</si>
  <si>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</si>
  <si>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</si>
  <si>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</si>
  <si>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</si>
  <si>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</si>
  <si>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</si>
  <si>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</si>
  <si>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</si>
  <si>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</si>
  <si>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</si>
  <si>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</si>
  <si>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</si>
  <si>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</si>
  <si>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</si>
  <si>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</si>
  <si>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</si>
  <si>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</si>
  <si>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</si>
  <si>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</si>
  <si>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</si>
  <si>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</si>
  <si>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</si>
  <si>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</si>
  <si>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</si>
  <si>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</si>
  <si>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</si>
  <si>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</si>
  <si>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</si>
  <si>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</si>
  <si>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</si>
  <si>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</si>
  <si>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</si>
  <si>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</si>
  <si>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</si>
  <si>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</si>
  <si>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</si>
  <si>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</si>
  <si>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</si>
  <si>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</si>
  <si>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</si>
  <si>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</si>
  <si>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</si>
  <si>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</si>
  <si>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</si>
  <si>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</si>
  <si>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</si>
  <si>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</si>
  <si>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</si>
  <si>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</si>
  <si>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</si>
  <si>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</si>
  <si>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</si>
  <si>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</si>
  <si>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</si>
  <si>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</si>
  <si>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</si>
  <si>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</si>
  <si>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</si>
  <si>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</si>
  <si>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</si>
  <si>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</si>
  <si>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</si>
  <si>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</si>
  <si>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</si>
  <si>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</si>
  <si>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</si>
  <si>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</si>
  <si>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</si>
  <si>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</si>
  <si>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</si>
  <si>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</si>
  <si>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</si>
  <si>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</si>
  <si>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</si>
  <si>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</si>
  <si>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</si>
  <si>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</si>
  <si>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</si>
  <si>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</si>
  <si>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</si>
  <si>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</si>
  <si>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</si>
  <si>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</si>
  <si>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</si>
  <si>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</si>
  <si>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</si>
  <si>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</si>
  <si>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</si>
  <si>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</si>
  <si>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</si>
  <si>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</si>
  <si>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</si>
  <si>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</si>
  <si>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</si>
  <si>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</si>
  <si>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</si>
  <si>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</si>
  <si>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</si>
  <si>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</si>
  <si>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</si>
  <si>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</si>
  <si>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</si>
  <si>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</si>
  <si>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</si>
  <si>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</si>
  <si>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</si>
  <si>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</si>
  <si>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</si>
  <si>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</si>
  <si>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</si>
  <si>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</si>
  <si>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</si>
  <si>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</si>
  <si>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</si>
  <si>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</si>
  <si>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</si>
  <si>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</si>
  <si>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</si>
  <si>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</si>
  <si>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</si>
  <si>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</si>
  <si>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</si>
  <si>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</si>
  <si>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</si>
  <si>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</si>
  <si>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</si>
  <si>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</si>
  <si>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</si>
  <si>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</si>
  <si>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</si>
  <si>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</si>
  <si>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</si>
  <si>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</si>
  <si>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</si>
  <si>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</si>
  <si>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</si>
  <si>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</si>
  <si>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</si>
  <si>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</si>
  <si>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</si>
  <si>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</si>
  <si>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</si>
  <si>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</si>
  <si>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</si>
  <si>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</si>
  <si>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</si>
  <si>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</si>
  <si>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</si>
  <si>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</si>
  <si>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</si>
  <si>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</si>
  <si>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</si>
  <si>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</si>
  <si>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</si>
  <si>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</si>
  <si>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</si>
  <si>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</si>
  <si>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</si>
  <si>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MC1 08h21 /  Autorizado entrada na via 09h32 / Em deslocamento para km de trabalho</t>
  </si>
  <si>
    <t xml:space="preserve">MC1 08h21 /  Autorizado entrada na via 09h32 / Em Intervalo 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</si>
  <si>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</si>
  <si>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</si>
  <si>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</si>
  <si>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</si>
  <si>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</si>
  <si>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</si>
  <si>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</si>
  <si>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</si>
  <si>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</si>
  <si>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</si>
  <si>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</si>
  <si>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</si>
  <si>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</si>
  <si>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</si>
  <si>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</si>
  <si>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</si>
  <si>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>ZPG</t>
  </si>
  <si>
    <t>Alterado programação para km 127+760 via 2 / TP pronto 08h07 / Sem oportunidade de faixa</t>
  </si>
  <si>
    <t>ZRBZEV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</si>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</sst>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210" activePane="topRight" state="frozen"/>
      <selection pane="topRight" activeCell="V243" sqref="V24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2" t="s">
        <v>950</v>
      </c>
      <c r="C1" s="183"/>
      <c r="D1" s="183"/>
      <c r="E1" s="3"/>
      <c r="F1" s="182" t="s">
        <v>951</v>
      </c>
      <c r="G1" s="183"/>
      <c r="H1" s="184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5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86" t="s">
        <v>959</v>
      </c>
      <c r="BB2" s="188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6" t="s">
        <v>960</v>
      </c>
      <c r="AJ3" s="188"/>
      <c r="AK3" s="186" t="s">
        <v>961</v>
      </c>
      <c r="AL3" s="187"/>
      <c r="AM3" s="210"/>
      <c r="AN3" s="211"/>
      <c r="AO3" s="187"/>
      <c r="AP3" s="187"/>
      <c r="AQ3" s="188"/>
      <c r="AR3" s="63"/>
      <c r="AS3" s="208" t="s">
        <v>967</v>
      </c>
      <c r="AT3" s="209"/>
      <c r="AU3" s="208" t="s">
        <v>968</v>
      </c>
      <c r="AV3" s="209"/>
      <c r="AW3" s="208" t="s">
        <v>969</v>
      </c>
      <c r="AX3" s="209"/>
      <c r="AY3" s="63" t="s">
        <v>970</v>
      </c>
      <c r="AZ3" s="63"/>
      <c r="BA3" s="206"/>
      <c r="BB3" s="207"/>
      <c r="BC3" s="186" t="s">
        <v>963</v>
      </c>
      <c r="BD3" s="187"/>
      <c r="BE3" s="187"/>
      <c r="BF3" s="188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 t="s">
        <v>1339</v>
      </c>
      <c r="BK209" s="18" t="s">
        <v>1339</v>
      </c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 t="s">
        <v>1339</v>
      </c>
      <c r="BK210" s="18" t="s">
        <v>1339</v>
      </c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1</v>
      </c>
      <c r="BI211" s="17"/>
      <c r="BJ211" s="17" t="s">
        <v>1340</v>
      </c>
      <c r="BK211" s="18" t="s">
        <v>1341</v>
      </c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0.99999999999999911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1342</v>
      </c>
      <c r="J212" s="105">
        <v>48</v>
      </c>
      <c r="K212" s="105">
        <v>120</v>
      </c>
      <c r="L212" s="105"/>
      <c r="M212" s="127" t="s">
        <v>1343</v>
      </c>
      <c r="N212" s="127" t="s">
        <v>1344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1345</v>
      </c>
      <c r="W212" s="151" t="s">
        <v>1346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1</v>
      </c>
      <c r="BI212" s="17"/>
      <c r="BJ212" s="17" t="s">
        <v>1347</v>
      </c>
      <c r="BK212" s="18" t="s">
        <v>1347</v>
      </c>
      <c r="BL212" s="16"/>
      <c r="BM212" s="130"/>
      <c r="BN212" s="130"/>
      <c r="BO212" s="130"/>
      <c r="BP212" s="18"/>
      <c r="BQ212" s="12" t="str">
        <f t="shared" si="22"/>
        <v>Produção</v>
      </c>
      <c r="BR212" s="19">
        <f t="shared" si="23"/>
        <v>1.0000000000000004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1348</v>
      </c>
      <c r="BK213" s="18" t="s">
        <v>1349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1348</v>
      </c>
      <c r="BK214" s="18" t="s">
        <v>1349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1350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1351</v>
      </c>
      <c r="N216" s="127" t="s">
        <v>1352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1353</v>
      </c>
      <c r="BK216" s="18" t="s">
        <v>1354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1355</v>
      </c>
      <c r="BK217" s="18" t="s">
        <v>1355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1356</v>
      </c>
      <c r="BK218" s="18" t="s">
        <v>1356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/>
      <c r="AV219" s="136"/>
      <c r="AW219" s="14"/>
      <c r="AX219" s="14"/>
      <c r="AY219" s="164">
        <f t="shared" si="20"/>
        <v>5.9027777777777735E-2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1357</v>
      </c>
      <c r="BK219" s="18" t="s">
        <v>1357</v>
      </c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0.70833333333333282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1358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1359</v>
      </c>
      <c r="BK220" s="18" t="s">
        <v>1359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1359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/>
      <c r="AS223" s="108"/>
      <c r="AT223" s="108"/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/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0.33333333333333331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0.125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1182</v>
      </c>
      <c r="W226" s="151" t="s">
        <v>1326</v>
      </c>
      <c r="X226" s="104" t="s">
        <v>416</v>
      </c>
      <c r="Y226" s="129"/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/>
      <c r="AS226" s="108"/>
      <c r="AT226" s="108"/>
      <c r="AU226" s="136"/>
      <c r="AV226" s="136"/>
      <c r="AW226" s="14"/>
      <c r="AX226" s="14"/>
      <c r="AY226" s="164">
        <f t="shared" si="20"/>
        <v>0</v>
      </c>
      <c r="AZ226" s="153"/>
      <c r="BA226" s="109"/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/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/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/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/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tr">
        <f>IF(BS_CONTROLE[[#This Row],[Entre - Estações]]=0, "-", BS_CONTROLE[[#This Row],[Entre - Estações]])</f>
        <v>ZYU</v>
      </c>
      <c r="AN231" s="105" t="str">
        <f>IF(BS_CONTROLE[[#This Row],[SB]]=0, "-", BS_CONTROLE[[#This Row],[SB]])</f>
        <v>ZYU1 / ZFY1981</v>
      </c>
      <c r="AO231" s="105">
        <f>IF(BS_CONTROLE[[#This Row],[SUB]]=0, "-", BS_CONTROLE[[#This Row],[SUB]])</f>
        <v>49</v>
      </c>
      <c r="AP231" s="105">
        <f>BS_CONTROLE[[#This Row],[KM - Inicio]]</f>
        <v>203.57</v>
      </c>
      <c r="AQ231" s="105">
        <f>BS_CONTROLE[[#This Row],[KM - Inicio]]</f>
        <v>203.57</v>
      </c>
      <c r="AR231" s="108"/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>E17</v>
      </c>
      <c r="B233" s="102"/>
      <c r="C233" s="135" t="str">
        <f>IF(BS_CONTROLE[[#This Row],[DATA]]="","",WEEKNUM(BS_CONTROLE[[#This Row],[DATA]]))</f>
        <v/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0.375</v>
      </c>
      <c r="P233" s="106">
        <v>0.125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/>
      <c r="AS233" s="108"/>
      <c r="AT233" s="108"/>
      <c r="AU233" s="136"/>
      <c r="AV233" s="136"/>
      <c r="AW233" s="14"/>
      <c r="AX233" s="14"/>
      <c r="AY233" s="164">
        <f t="shared" si="20"/>
        <v>0</v>
      </c>
      <c r="AZ233" s="153"/>
      <c r="BA233" s="109"/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>V89</v>
      </c>
      <c r="B234" s="102"/>
      <c r="C234" s="135" t="str">
        <f>IF(BS_CONTROLE[[#This Row],[DATA]]="","",WEEKNUM(BS_CONTROLE[[#This Row],[DATA]]))</f>
        <v/>
      </c>
      <c r="D234" s="104" t="s">
        <v>803</v>
      </c>
      <c r="E234" s="159"/>
      <c r="F234" s="126" t="s">
        <v>698</v>
      </c>
      <c r="G234" s="142" t="str">
        <f>IF(D234="","*",VLOOKUP(F234,BS_ATIVIDADE[],3,FALSE))</f>
        <v>MECANIZAÇÃO - SOCADORA</v>
      </c>
      <c r="H234" s="105" t="s">
        <v>201</v>
      </c>
      <c r="I234" s="105" t="s">
        <v>201</v>
      </c>
      <c r="J234" s="105">
        <v>55</v>
      </c>
      <c r="K234" s="105">
        <v>106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4" s="106">
        <v>0.35416666666666669</v>
      </c>
      <c r="P234" s="106">
        <v>0.125</v>
      </c>
      <c r="Q234" s="172">
        <v>480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1061</v>
      </c>
      <c r="W234" s="151" t="s">
        <v>1050</v>
      </c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MECANIZAÇÃO - SOCADORA</v>
      </c>
      <c r="AJ234" s="9" t="str">
        <f>IF(BS_CONTROLE[[#This Row],[Atividade]]=0, "-", BS_CONTROLE[[#This Row],[Atividade]])</f>
        <v>MECANIZAÇÃO - SOCADORA</v>
      </c>
      <c r="AK234" s="31" t="str">
        <f>BS_CONTROLE[[#This Row],[Local - Partida]]</f>
        <v>102ZKW2</v>
      </c>
      <c r="AL234" s="31" t="str">
        <f>BS_CONTROLE[[#This Row],[Local - Encerramento]]</f>
        <v>102ZKW2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ZLU1052</v>
      </c>
      <c r="AO234" s="105">
        <f>IF(BS_CONTROLE[[#This Row],[SUB]]=0, "-", BS_CONTROLE[[#This Row],[SUB]])</f>
        <v>55</v>
      </c>
      <c r="AP234" s="105">
        <f>BS_CONTROLE[[#This Row],[KM - Inicio]]</f>
        <v>106</v>
      </c>
      <c r="AQ234" s="105">
        <f>BS_CONTROLE[[#This Row],[KM - Inicio]]</f>
        <v>106</v>
      </c>
      <c r="AR234" s="108"/>
      <c r="AS234" s="108"/>
      <c r="AT234" s="108"/>
      <c r="AU234" s="136"/>
      <c r="AV234" s="136"/>
      <c r="AW234" s="14"/>
      <c r="AX234" s="14"/>
      <c r="AY234" s="164">
        <f t="shared" si="20"/>
        <v>0</v>
      </c>
      <c r="AZ234" s="153"/>
      <c r="BA234" s="109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>MOD ZRB</v>
      </c>
      <c r="B239" s="102"/>
      <c r="C239" s="135" t="str">
        <f>IF(BS_CONTROLE[[#This Row],[DATA]]="","",WEEKNUM(BS_CONTROLE[[#This Row],[DATA]]))</f>
        <v/>
      </c>
      <c r="D239" s="104" t="s">
        <v>617</v>
      </c>
      <c r="E239" s="159">
        <v>233</v>
      </c>
      <c r="F239" s="126" t="s">
        <v>583</v>
      </c>
      <c r="G239" s="142" t="str">
        <f>IF(D239="","*",VLOOKUP(F239,BS_ATIVIDADE[],3,FALSE))</f>
        <v>OUTROS</v>
      </c>
      <c r="H239" s="106" t="s">
        <v>593</v>
      </c>
      <c r="I239" s="106" t="s">
        <v>593</v>
      </c>
      <c r="J239" s="105">
        <v>48</v>
      </c>
      <c r="K239" s="105">
        <v>152.19999999999999</v>
      </c>
      <c r="L239" s="105">
        <v>159</v>
      </c>
      <c r="M239" s="127" t="s">
        <v>68</v>
      </c>
      <c r="N239" s="127" t="s">
        <v>1360</v>
      </c>
      <c r="O239" s="106">
        <v>0.33333333333333331</v>
      </c>
      <c r="P239" s="106">
        <v>0.33333333333333331</v>
      </c>
      <c r="Q239" s="105">
        <v>1</v>
      </c>
      <c r="R239" s="10" t="str">
        <f>IFERROR(_xlfn.XLOOKUP(F239, BS_ATIVIDADE[ATIVIDADE],BS_ATIVIDADE[UNIDADE] ), "*")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9" s="105" t="s">
        <v>1100</v>
      </c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BLOCO</v>
      </c>
      <c r="AJ239" s="9" t="str">
        <f>IF(BS_CONTROLE[[#This Row],[Atividade]]=0, "-", BS_CONTROLE[[#This Row],[Atividade]])</f>
        <v>BLOCO</v>
      </c>
      <c r="AK239" s="31" t="str">
        <f>BS_CONTROLE[[#This Row],[Local - Partida]]</f>
        <v>-</v>
      </c>
      <c r="AL239" s="31" t="str">
        <f>BS_CONTROLE[[#This Row],[Local - Encerramento]]</f>
        <v>-</v>
      </c>
      <c r="AM239" s="105" t="str">
        <f>IF(BS_CONTROLE[[#This Row],[Entre - Estações]]=0, "-", BS_CONTROLE[[#This Row],[Entre - Estações]])</f>
        <v>ZRB-ZEV</v>
      </c>
      <c r="AN239" s="105" t="str">
        <f>IF(BS_CONTROLE[[#This Row],[SB]]=0, "-", BS_CONTROLE[[#This Row],[SB]])</f>
        <v>ZRBZEV</v>
      </c>
      <c r="AO239" s="105">
        <f>IF(BS_CONTROLE[[#This Row],[SUB]]=0, "-", BS_CONTROLE[[#This Row],[SUB]])</f>
        <v>48</v>
      </c>
      <c r="AP239" s="105">
        <f>BS_CONTROLE[[#This Row],[KM - Inicio]]</f>
        <v>152.19999999999999</v>
      </c>
      <c r="AQ239" s="105">
        <f>BS_CONTROLE[[#This Row],[KM - Inicio]]</f>
        <v>152.19999999999999</v>
      </c>
      <c r="AR239" s="108"/>
      <c r="AS239" s="108"/>
      <c r="AT239" s="108"/>
      <c r="AU239" s="136"/>
      <c r="AV239" s="136"/>
      <c r="AW239" s="14"/>
      <c r="AX239" s="14"/>
      <c r="AY239" s="164">
        <f t="shared" si="20"/>
        <v>0</v>
      </c>
      <c r="AZ239" s="153"/>
      <c r="BA239" s="109"/>
      <c r="BB239" s="10" t="str">
        <f>IFERROR(_xlfn.XLOOKUP(AI239, BS_ATIVIDADE[ATIVIDADE],BS_ATIVIDADE[UNIDADE] ), "*")</f>
        <v>BINÁRIO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>W97</v>
      </c>
      <c r="B240" s="102"/>
      <c r="C240" s="135" t="str">
        <f>IF(BS_CONTROLE[[#This Row],[DATA]]="","",WEEKNUM(BS_CONTROLE[[#This Row],[DATA]]))</f>
        <v/>
      </c>
      <c r="D240" s="104" t="s">
        <v>841</v>
      </c>
      <c r="E240" s="159">
        <v>234</v>
      </c>
      <c r="F240" s="126" t="s">
        <v>715</v>
      </c>
      <c r="G240" s="142" t="str">
        <f>IF(D240="","*",VLOOKUP(F240,BS_ATIVIDADE[],3,FALSE))</f>
        <v>MODERNIZAÇÃO</v>
      </c>
      <c r="H240" s="106" t="s">
        <v>55</v>
      </c>
      <c r="I240" s="106" t="s">
        <v>55</v>
      </c>
      <c r="J240" s="105">
        <v>48</v>
      </c>
      <c r="K240" s="105">
        <v>155.69999999999999</v>
      </c>
      <c r="L240" s="105" t="s">
        <v>593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0" s="106">
        <v>0.29166666666666669</v>
      </c>
      <c r="P240" s="106">
        <v>6.9444444444444447E-4</v>
      </c>
      <c r="Q240" s="105">
        <v>1</v>
      </c>
      <c r="R240" s="10" t="str">
        <f>IFERROR(_xlfn.XLOOKUP(F240, BS_ATIVIDADE[ATIVIDADE],BS_ATIVIDADE[UNIDADE] ), "*")</f>
        <v>Nº DE DORMENTES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DORMENTE - DESCARGA</v>
      </c>
      <c r="AJ240" s="9" t="str">
        <f>IF(BS_CONTROLE[[#This Row],[Atividade]]=0, "-", BS_CONTROLE[[#This Row],[Atividade]])</f>
        <v>MODERNIZAÇÃO - DORMENTE - DESCARGA</v>
      </c>
      <c r="AK240" s="31" t="str">
        <f>BS_CONTROLE[[#This Row],[Local - Partida]]</f>
        <v>ZEM1</v>
      </c>
      <c r="AL240" s="31" t="str">
        <f>BS_CONTROLE[[#This Row],[Local - Encerramento]]</f>
        <v>ZEM1</v>
      </c>
      <c r="AM240" s="105" t="str">
        <f>IF(BS_CONTROLE[[#This Row],[Entre - Estações]]=0, "-", BS_CONTROLE[[#This Row],[Entre - Estações]])</f>
        <v>ZRB-ZEV</v>
      </c>
      <c r="AN240" s="105">
        <f>IF(BS_CONTROLE[[#This Row],[SB]]=0, "-", BS_CONTROLE[[#This Row],[SB]])</f>
        <v>1561551</v>
      </c>
      <c r="AO240" s="105">
        <f>IF(BS_CONTROLE[[#This Row],[SUB]]=0, "-", BS_CONTROLE[[#This Row],[SUB]])</f>
        <v>48</v>
      </c>
      <c r="AP240" s="105">
        <f>BS_CONTROLE[[#This Row],[KM - Inicio]]</f>
        <v>155.69999999999999</v>
      </c>
      <c r="AQ240" s="105">
        <f>BS_CONTROLE[[#This Row],[KM - Inicio]]</f>
        <v>155.69999999999999</v>
      </c>
      <c r="AR240" s="108"/>
      <c r="AS240" s="108"/>
      <c r="AT240" s="108"/>
      <c r="AU240" s="136"/>
      <c r="AV240" s="136"/>
      <c r="AW240" s="14"/>
      <c r="AX240" s="14"/>
      <c r="AY240" s="164">
        <f t="shared" si="20"/>
        <v>0</v>
      </c>
      <c r="AZ240" s="153"/>
      <c r="BA240" s="109"/>
      <c r="BB240" s="10" t="str">
        <f>IFERROR(_xlfn.XLOOKUP(AI240, BS_ATIVIDADE[ATIVIDADE],BS_ATIVIDADE[UNIDADE] ), "*")</f>
        <v>Nº DE DORMENTES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>V96</v>
      </c>
      <c r="B241" s="102"/>
      <c r="C241" s="135" t="str">
        <f>IF(BS_CONTROLE[[#This Row],[DATA]]="","",WEEKNUM(BS_CONTROLE[[#This Row],[DATA]]))</f>
        <v/>
      </c>
      <c r="D241" s="104" t="s">
        <v>817</v>
      </c>
      <c r="E241" s="159">
        <v>235</v>
      </c>
      <c r="F241" s="126" t="s">
        <v>724</v>
      </c>
      <c r="G241" s="142" t="str">
        <f>IF(D241="","*",VLOOKUP(F241,BS_ATIVIDADE[],3,FALSE))</f>
        <v>MODERNIZAÇÃO</v>
      </c>
      <c r="H241" s="106" t="s">
        <v>306</v>
      </c>
      <c r="I241" s="106" t="s">
        <v>306</v>
      </c>
      <c r="J241" s="105">
        <v>48</v>
      </c>
      <c r="K241" s="105">
        <v>157.30000000000001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1" s="106">
        <v>0.30555555555555558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M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SOCADORA</v>
      </c>
      <c r="AJ241" s="9" t="str">
        <f>IF(BS_CONTROLE[[#This Row],[Atividade]]=0, "-", BS_CONTROLE[[#This Row],[Atividade]])</f>
        <v>MODERNIZAÇÃO - SOCADORA</v>
      </c>
      <c r="AK241" s="31" t="str">
        <f>BS_CONTROLE[[#This Row],[Local - Partida]]</f>
        <v>K67ZEV2</v>
      </c>
      <c r="AL241" s="31" t="str">
        <f>BS_CONTROLE[[#This Row],[Local - Encerramento]]</f>
        <v>K67ZEV2</v>
      </c>
      <c r="AM241" s="105" t="str">
        <f>IF(BS_CONTROLE[[#This Row],[Entre - Estações]]=0, "-", BS_CONTROLE[[#This Row],[Entre - Estações]])</f>
        <v>ZRB-ZEV</v>
      </c>
      <c r="AN241" s="105" t="str">
        <f>IF(BS_CONTROLE[[#This Row],[SB]]=0, "-", BS_CONTROLE[[#This Row],[SB]])</f>
        <v>ZEV1571</v>
      </c>
      <c r="AO241" s="105">
        <f>IF(BS_CONTROLE[[#This Row],[SUB]]=0, "-", BS_CONTROLE[[#This Row],[SUB]])</f>
        <v>48</v>
      </c>
      <c r="AP241" s="105">
        <f>BS_CONTROLE[[#This Row],[KM - Inicio]]</f>
        <v>157.30000000000001</v>
      </c>
      <c r="AQ241" s="105">
        <f>BS_CONTROLE[[#This Row],[KM - Inicio]]</f>
        <v>157.30000000000001</v>
      </c>
      <c r="AR241" s="108"/>
      <c r="AS241" s="108"/>
      <c r="AT241" s="108"/>
      <c r="AU241" s="136"/>
      <c r="AV241" s="136"/>
      <c r="AW241" s="14"/>
      <c r="AX241" s="14"/>
      <c r="AY241" s="164">
        <f t="shared" si="20"/>
        <v>0</v>
      </c>
      <c r="AZ241" s="153"/>
      <c r="BA241" s="109"/>
      <c r="BB241" s="10" t="str">
        <f>IFERROR(_xlfn.XLOOKUP(AI241, BS_ATIVIDADE[ATIVIDADE],BS_ATIVIDADE[UNIDADE] ), "*")</f>
        <v>M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>WAGNER (TP-903)</v>
      </c>
      <c r="B242" s="102"/>
      <c r="C242" s="135" t="str">
        <f>IF(BS_CONTROLE[[#This Row],[DATA]]="","",WEEKNUM(BS_CONTROLE[[#This Row],[DATA]]))</f>
        <v/>
      </c>
      <c r="D242" s="104" t="s">
        <v>944</v>
      </c>
      <c r="E242" s="159">
        <v>236</v>
      </c>
      <c r="F242" s="126" t="s">
        <v>726</v>
      </c>
      <c r="G242" s="142" t="str">
        <f>IF(D242="","*",VLOOKUP(F242,BS_ATIVIDADE[],3,FALSE))</f>
        <v>MODERNIZAÇÃO</v>
      </c>
      <c r="H242" s="106" t="s">
        <v>593</v>
      </c>
      <c r="I242" s="106" t="s">
        <v>593</v>
      </c>
      <c r="J242" s="105">
        <v>48</v>
      </c>
      <c r="K242" s="105">
        <v>156.33199999999999</v>
      </c>
      <c r="L242" s="105">
        <v>156.34399999999999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0.33333333333333331</v>
      </c>
      <c r="P242" s="106">
        <v>6.9444444444444447E-4</v>
      </c>
      <c r="Q242" s="105">
        <v>2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ZRB-ZEV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156.33199999999999</v>
      </c>
      <c r="AQ242" s="105">
        <f>BS_CONTROLE[[#This Row],[KM - Inicio]]</f>
        <v>156.33199999999999</v>
      </c>
      <c r="AR242" s="108"/>
      <c r="AS242" s="108"/>
      <c r="AT242" s="108"/>
      <c r="AU242" s="136"/>
      <c r="AV242" s="136"/>
      <c r="AW242" s="14"/>
      <c r="AX242" s="14"/>
      <c r="AY242" s="164">
        <f t="shared" si="20"/>
        <v>0</v>
      </c>
      <c r="AZ242" s="153"/>
      <c r="BA242" s="109"/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>CAIQUE (TMA-677)</v>
      </c>
      <c r="B243" s="102"/>
      <c r="C243" s="135" t="str">
        <f>IF(BS_CONTROLE[[#This Row],[DATA]]="","",WEEKNUM(BS_CONTROLE[[#This Row],[DATA]]))</f>
        <v/>
      </c>
      <c r="D243" s="104" t="s">
        <v>859</v>
      </c>
      <c r="E243" s="159">
        <v>237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156.93</v>
      </c>
      <c r="L243" s="105">
        <v>156.958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156.93</v>
      </c>
      <c r="AQ243" s="105">
        <f>BS_CONTROLE[[#This Row],[KM - Inicio]]</f>
        <v>156.93</v>
      </c>
      <c r="AR243" s="108"/>
      <c r="AS243" s="108"/>
      <c r="AT243" s="108"/>
      <c r="AU243" s="136"/>
      <c r="AV243" s="136"/>
      <c r="AW243" s="14"/>
      <c r="AX243" s="14"/>
      <c r="AY243" s="164">
        <f t="shared" si="20"/>
        <v>0</v>
      </c>
      <c r="AZ243" s="153"/>
      <c r="BA243" s="109"/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1361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1362</v>
      </c>
      <c r="C4" s="160" t="s">
        <v>1363</v>
      </c>
      <c r="D4" s="160" t="s">
        <v>1364</v>
      </c>
      <c r="E4" s="160" t="s">
        <v>1365</v>
      </c>
      <c r="F4" s="160" t="s">
        <v>4</v>
      </c>
      <c r="G4" s="160" t="s">
        <v>1366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1367</v>
      </c>
      <c r="C6" s="161">
        <v>407867</v>
      </c>
      <c r="D6" s="161" t="s">
        <v>1368</v>
      </c>
      <c r="E6" s="161" t="s">
        <v>824</v>
      </c>
      <c r="F6" s="161" t="s">
        <v>1369</v>
      </c>
      <c r="G6" s="162"/>
    </row>
    <row r="7" spans="2:7">
      <c r="B7" s="161" t="s">
        <v>1370</v>
      </c>
      <c r="C7" s="161">
        <v>293644</v>
      </c>
      <c r="D7" s="161" t="s">
        <v>1371</v>
      </c>
      <c r="E7" s="161" t="s">
        <v>824</v>
      </c>
      <c r="F7" s="161" t="s">
        <v>1369</v>
      </c>
      <c r="G7" s="162"/>
    </row>
    <row r="8" spans="2:7">
      <c r="B8" s="161" t="s">
        <v>1372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1373</v>
      </c>
      <c r="C9" s="161">
        <v>256790</v>
      </c>
      <c r="D9" s="161" t="s">
        <v>1374</v>
      </c>
      <c r="E9" s="161" t="s">
        <v>825</v>
      </c>
      <c r="F9" s="161" t="s">
        <v>1375</v>
      </c>
      <c r="G9" s="162">
        <v>46357</v>
      </c>
    </row>
    <row r="10" spans="2:7">
      <c r="B10" s="161" t="s">
        <v>1376</v>
      </c>
      <c r="C10" s="161">
        <v>265193</v>
      </c>
      <c r="D10" s="161" t="s">
        <v>1377</v>
      </c>
      <c r="E10" s="161" t="s">
        <v>826</v>
      </c>
      <c r="F10" s="161" t="s">
        <v>54</v>
      </c>
      <c r="G10" s="161" t="s">
        <v>1378</v>
      </c>
    </row>
    <row r="11" spans="2:7">
      <c r="B11" s="161" t="s">
        <v>1379</v>
      </c>
      <c r="C11" s="161">
        <v>293716</v>
      </c>
      <c r="D11" s="161" t="s">
        <v>1380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1381</v>
      </c>
      <c r="C12" s="161">
        <v>257258</v>
      </c>
      <c r="D12" s="161" t="s">
        <v>1382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1383</v>
      </c>
      <c r="C13" s="161">
        <v>371147</v>
      </c>
      <c r="D13" s="161" t="s">
        <v>1384</v>
      </c>
      <c r="E13" s="161" t="s">
        <v>827</v>
      </c>
      <c r="F13" s="161" t="s">
        <v>71</v>
      </c>
      <c r="G13" s="161" t="s">
        <v>1378</v>
      </c>
    </row>
    <row r="14" spans="2:7">
      <c r="B14" s="161" t="s">
        <v>1385</v>
      </c>
      <c r="C14" s="161">
        <v>259230</v>
      </c>
      <c r="D14" s="161" t="s">
        <v>1386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1387</v>
      </c>
      <c r="C15" s="161">
        <v>370705</v>
      </c>
      <c r="D15" s="161"/>
      <c r="E15" s="161" t="s">
        <v>827</v>
      </c>
      <c r="F15" s="161" t="s">
        <v>71</v>
      </c>
      <c r="G15" s="161" t="s">
        <v>1378</v>
      </c>
    </row>
    <row r="16" spans="2:7">
      <c r="B16" s="161" t="s">
        <v>1388</v>
      </c>
      <c r="C16" s="161">
        <v>258542</v>
      </c>
      <c r="D16" s="161" t="s">
        <v>1389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1390</v>
      </c>
      <c r="C17" s="161">
        <v>257050</v>
      </c>
      <c r="D17" s="161" t="s">
        <v>1391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7" sqref="G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1392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1393</v>
      </c>
      <c r="D4" s="163" t="s">
        <v>1394</v>
      </c>
      <c r="E4" s="163" t="s">
        <v>1395</v>
      </c>
      <c r="F4" s="160" t="s">
        <v>1396</v>
      </c>
      <c r="G4" s="163" t="s">
        <v>1397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1398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1399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1398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1398</v>
      </c>
      <c r="G9" s="167"/>
    </row>
    <row r="10" spans="2:7" ht="19.5" customHeight="1">
      <c r="B10" s="167" t="s">
        <v>1400</v>
      </c>
      <c r="C10" s="167">
        <v>9038</v>
      </c>
      <c r="D10" s="168">
        <v>46049</v>
      </c>
      <c r="E10" s="167">
        <v>15098</v>
      </c>
      <c r="F10" s="169" t="s">
        <v>1401</v>
      </c>
      <c r="G10" s="167" t="s">
        <v>1402</v>
      </c>
    </row>
    <row r="11" spans="2:7" ht="19.5" customHeight="1">
      <c r="B11" s="167" t="s">
        <v>744</v>
      </c>
      <c r="C11" s="167" t="s">
        <v>1403</v>
      </c>
      <c r="D11" s="168">
        <v>46056</v>
      </c>
      <c r="E11" s="167">
        <v>9100</v>
      </c>
      <c r="F11" s="169" t="s">
        <v>1404</v>
      </c>
      <c r="G11" s="167" t="s">
        <v>1405</v>
      </c>
    </row>
    <row r="12" spans="2:7" ht="19.5" customHeight="1">
      <c r="B12" s="167" t="s">
        <v>744</v>
      </c>
      <c r="C12" s="167" t="s">
        <v>1406</v>
      </c>
      <c r="D12" s="168">
        <v>46058</v>
      </c>
      <c r="E12" s="167">
        <v>12000</v>
      </c>
      <c r="F12" s="169" t="s">
        <v>1398</v>
      </c>
      <c r="G12" s="167"/>
    </row>
    <row r="13" spans="2:7" ht="19.5" customHeight="1">
      <c r="B13" s="167" t="s">
        <v>744</v>
      </c>
      <c r="C13" s="167" t="s">
        <v>1407</v>
      </c>
      <c r="D13" s="168">
        <v>46058</v>
      </c>
      <c r="E13" s="167">
        <v>12000</v>
      </c>
      <c r="F13" s="169" t="s">
        <v>1398</v>
      </c>
      <c r="G13" s="167"/>
    </row>
    <row r="14" spans="2:7" ht="19.5" customHeight="1">
      <c r="B14" s="167" t="s">
        <v>744</v>
      </c>
      <c r="C14" s="167" t="s">
        <v>1408</v>
      </c>
      <c r="D14" s="168">
        <v>46058</v>
      </c>
      <c r="E14" s="167">
        <v>13800</v>
      </c>
      <c r="F14" s="169" t="s">
        <v>1398</v>
      </c>
      <c r="G14" s="167" t="s">
        <v>1409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1410</v>
      </c>
      <c r="D5" s="216"/>
      <c r="E5" s="216"/>
      <c r="F5" s="216"/>
      <c r="G5" s="216"/>
      <c r="H5" s="216"/>
      <c r="I5" s="216"/>
      <c r="J5" s="217"/>
      <c r="K5" s="218" t="s">
        <v>1411</v>
      </c>
      <c r="L5" s="219"/>
      <c r="M5" s="219"/>
      <c r="N5" s="219"/>
      <c r="O5" s="220" t="s">
        <v>1412</v>
      </c>
      <c r="P5" s="221"/>
    </row>
    <row r="6" spans="1:16" s="74" customFormat="1" ht="15" customHeight="1">
      <c r="A6" s="66" t="s">
        <v>1413</v>
      </c>
      <c r="B6" s="75" t="s">
        <v>1414</v>
      </c>
      <c r="C6" s="76" t="s">
        <v>992</v>
      </c>
      <c r="D6" s="77" t="s">
        <v>993</v>
      </c>
      <c r="E6" s="76" t="s">
        <v>1415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1416</v>
      </c>
      <c r="M6" s="80" t="s">
        <v>611</v>
      </c>
      <c r="N6" s="81" t="s">
        <v>987</v>
      </c>
      <c r="O6" s="158" t="s">
        <v>1030</v>
      </c>
      <c r="P6" s="133" t="s">
        <v>1417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 t="str">
        <f>IF(SP_SUL!BH209="","*",SP_SUL!BH209)</f>
        <v>*</v>
      </c>
      <c r="P209" s="147" t="str">
        <f>IF($A$2=1,IF(SP_SUL!BJ209="","*",SP_SUL!BJ209),IF(SP_SUL!BK209="","*",SP_SUL!BK209))</f>
        <v>Alterado programação para km 156+000 via 2 / TP pronto 11h00 / aguardando confirmar cauda do U50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 t="str">
        <f>IF(SP_SUL!BH210="","*",SP_SUL!BH210)</f>
        <v>*</v>
      </c>
      <c r="P210" s="147" t="str">
        <f>IF($A$2=1,IF(SP_SUL!BJ210="","*",SP_SUL!BJ210),IF(SP_SUL!BK210="","*",SP_SUL!BK210))</f>
        <v>Alterado programação para km 156+000 via 2 / TP pronto 11h00 / aguardando confirmar cauda do U50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1</v>
      </c>
      <c r="P211" s="147" t="str">
        <f>IF($A$2=1,IF(SP_SUL!BJ211="","*",SP_SUL!BJ211),IF(SP_SUL!BK211="","*",SP_SUL!BK211))</f>
        <v xml:space="preserve">MC1 08h21 /  Autorizado entrada na via 09h32 / Em Intervalo 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1</v>
      </c>
      <c r="P212" s="147" t="str">
        <f>IF($A$2=1,IF(SP_SUL!BJ212="","*",SP_SUL!BJ212),IF(SP_SUL!BK212="","*",SP_SUL!BK212))</f>
        <v>MC1 08h27 / autorizado entrada na via 08h40 / Em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1</v>
      </c>
      <c r="P219" s="147" t="str">
        <f>IF($A$2=1,IF(SP_SUL!BJ219="","*",SP_SUL!BJ219),IF(SP_SUL!BK219="","*",SP_SUL!BK219))</f>
        <v xml:space="preserve">TP pronto 09h25 / Em intervalo das 09h35 até 11h00 /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0.33333333333333331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0.125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ZYU</v>
      </c>
      <c r="M231" s="83">
        <f>IF(SP_SUL!AP231="","*",SP_SUL!AP231)</f>
        <v>203.57</v>
      </c>
      <c r="N231" s="83" t="str">
        <f>IF(SP_SUL!AM231="","*",SP_SUL!AM231)</f>
        <v>ZYU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0.375</v>
      </c>
      <c r="J233" s="113">
        <f>IF(SP_SUL!P233="","*",SP_SUL!P233)</f>
        <v>0.125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V89</v>
      </c>
      <c r="F234" s="83" t="str">
        <f>IF(SP_SUL!H234="","*",SP_SUL!H234)</f>
        <v>102ZKW2</v>
      </c>
      <c r="G234" s="83" t="str">
        <f>IF(SP_SUL!M234="","*",SP_SUL!M234)</f>
        <v>ZKW-ZLU</v>
      </c>
      <c r="H234" s="116">
        <f>IF(SP_SUL!K234="","*",SP_SUL!K234)</f>
        <v>106</v>
      </c>
      <c r="I234" s="113">
        <f>IF(SP_SUL!O234="","*",SP_SUL!O234)</f>
        <v>0.35416666666666669</v>
      </c>
      <c r="J234" s="113">
        <f>IF(SP_SUL!P234="","*",SP_SUL!P234)</f>
        <v>0.125</v>
      </c>
      <c r="K234" s="83" t="str">
        <f>IF(SP_SUL!AK234="","*",SP_SUL!AK234)</f>
        <v>102ZKW2</v>
      </c>
      <c r="L234" s="83" t="str">
        <f>IF(SP_SUL!AM234="","*",SP_SUL!AM234)</f>
        <v>ZKW-ZLU</v>
      </c>
      <c r="M234" s="83">
        <f>IF(SP_SUL!AP234="","*",SP_SUL!AP234)</f>
        <v>106</v>
      </c>
      <c r="N234" s="83" t="str">
        <f>IF(SP_SUL!AM234="","*",SP_SUL!AM234)</f>
        <v>ZKW-ZLU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MOD ZRB</v>
      </c>
      <c r="F239" s="83" t="str">
        <f>IF(SP_SUL!H239="","*",SP_SUL!H239)</f>
        <v>-</v>
      </c>
      <c r="G239" s="83" t="str">
        <f>IF(SP_SUL!M239="","*",SP_SUL!M239)</f>
        <v>ZRB-ZEV</v>
      </c>
      <c r="H239" s="116">
        <f>IF(SP_SUL!K239="","*",SP_SUL!K239)</f>
        <v>152.19999999999999</v>
      </c>
      <c r="I239" s="113">
        <f>IF(SP_SUL!O239="","*",SP_SUL!O239)</f>
        <v>0.33333333333333331</v>
      </c>
      <c r="J239" s="113">
        <f>IF(SP_SUL!P239="","*",SP_SUL!P239)</f>
        <v>0.33333333333333331</v>
      </c>
      <c r="K239" s="83" t="str">
        <f>IF(SP_SUL!AK239="","*",SP_SUL!AK239)</f>
        <v>-</v>
      </c>
      <c r="L239" s="83" t="str">
        <f>IF(SP_SUL!AM239="","*",SP_SUL!AM239)</f>
        <v>ZRB-ZEV</v>
      </c>
      <c r="M239" s="83">
        <f>IF(SP_SUL!AP239="","*",SP_SUL!AP239)</f>
        <v>152.19999999999999</v>
      </c>
      <c r="N239" s="83" t="str">
        <f>IF(SP_SUL!AM239="","*",SP_SUL!AM239)</f>
        <v>ZRB-ZEV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W97</v>
      </c>
      <c r="F240" s="83" t="str">
        <f>IF(SP_SUL!H240="","*",SP_SUL!H240)</f>
        <v>ZEM1</v>
      </c>
      <c r="G240" s="83" t="str">
        <f>IF(SP_SUL!M240="","*",SP_SUL!M240)</f>
        <v>ZRB-ZEV</v>
      </c>
      <c r="H240" s="116">
        <f>IF(SP_SUL!K240="","*",SP_SUL!K240)</f>
        <v>155.69999999999999</v>
      </c>
      <c r="I240" s="113">
        <f>IF(SP_SUL!O240="","*",SP_SUL!O240)</f>
        <v>0.29166666666666669</v>
      </c>
      <c r="J240" s="113">
        <f>IF(SP_SUL!P240="","*",SP_SUL!P240)</f>
        <v>6.9444444444444447E-4</v>
      </c>
      <c r="K240" s="83" t="str">
        <f>IF(SP_SUL!AK240="","*",SP_SUL!AK240)</f>
        <v>ZEM1</v>
      </c>
      <c r="L240" s="83" t="str">
        <f>IF(SP_SUL!AM240="","*",SP_SUL!AM240)</f>
        <v>ZRB-ZEV</v>
      </c>
      <c r="M240" s="83">
        <f>IF(SP_SUL!AP240="","*",SP_SUL!AP240)</f>
        <v>155.69999999999999</v>
      </c>
      <c r="N240" s="83" t="str">
        <f>IF(SP_SUL!AM240="","*",SP_SUL!AM240)</f>
        <v>ZRB-ZEV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V96</v>
      </c>
      <c r="F241" s="83" t="str">
        <f>IF(SP_SUL!H241="","*",SP_SUL!H241)</f>
        <v>K67ZEV2</v>
      </c>
      <c r="G241" s="83" t="str">
        <f>IF(SP_SUL!M241="","*",SP_SUL!M241)</f>
        <v>ZRB-ZEV</v>
      </c>
      <c r="H241" s="116">
        <f>IF(SP_SUL!K241="","*",SP_SUL!K241)</f>
        <v>157.30000000000001</v>
      </c>
      <c r="I241" s="113">
        <f>IF(SP_SUL!O241="","*",SP_SUL!O241)</f>
        <v>0.30555555555555558</v>
      </c>
      <c r="J241" s="113">
        <f>IF(SP_SUL!P241="","*",SP_SUL!P241)</f>
        <v>6.9444444444444447E-4</v>
      </c>
      <c r="K241" s="83" t="str">
        <f>IF(SP_SUL!AK241="","*",SP_SUL!AK241)</f>
        <v>K67ZEV2</v>
      </c>
      <c r="L241" s="83" t="str">
        <f>IF(SP_SUL!AM241="","*",SP_SUL!AM241)</f>
        <v>ZRB-ZEV</v>
      </c>
      <c r="M241" s="83">
        <f>IF(SP_SUL!AP241="","*",SP_SUL!AP241)</f>
        <v>157.30000000000001</v>
      </c>
      <c r="N241" s="83" t="str">
        <f>IF(SP_SUL!AM241="","*",SP_SUL!AM241)</f>
        <v>ZRB-ZEV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WAGNER (TP-903)</v>
      </c>
      <c r="F242" s="83" t="str">
        <f>IF(SP_SUL!H242="","*",SP_SUL!H242)</f>
        <v>-</v>
      </c>
      <c r="G242" s="83" t="str">
        <f>IF(SP_SUL!M242="","*",SP_SUL!M242)</f>
        <v>ZRB-ZEV</v>
      </c>
      <c r="H242" s="116">
        <f>IF(SP_SUL!K242="","*",SP_SUL!K242)</f>
        <v>156.33199999999999</v>
      </c>
      <c r="I242" s="113">
        <f>IF(SP_SUL!O242="","*",SP_SUL!O242)</f>
        <v>0.33333333333333331</v>
      </c>
      <c r="J242" s="113">
        <f>IF(SP_SUL!P242="","*",SP_SUL!P242)</f>
        <v>6.9444444444444447E-4</v>
      </c>
      <c r="K242" s="83" t="str">
        <f>IF(SP_SUL!AK242="","*",SP_SUL!AK242)</f>
        <v>-</v>
      </c>
      <c r="L242" s="83" t="str">
        <f>IF(SP_SUL!AM242="","*",SP_SUL!AM242)</f>
        <v>ZRB-ZEV</v>
      </c>
      <c r="M242" s="83">
        <f>IF(SP_SUL!AP242="","*",SP_SUL!AP242)</f>
        <v>156.33199999999999</v>
      </c>
      <c r="N242" s="83" t="str">
        <f>IF(SP_SUL!AM242="","*",SP_SUL!AM242)</f>
        <v>ZRB-ZEV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CAIQUE (TMA-677)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156.93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156.93</v>
      </c>
      <c r="N243" s="83" t="str">
        <f>IF(SP_SUL!AM243="","*",SP_SUL!AM243)</f>
        <v>ZRB-ZEV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1418</v>
      </c>
      <c r="V1" s="227"/>
      <c r="W1" s="227"/>
    </row>
    <row r="2" spans="1:23" ht="15" customHeight="1">
      <c r="A2" s="87" t="s">
        <v>1419</v>
      </c>
      <c r="B2" s="87" t="s">
        <v>1414</v>
      </c>
      <c r="C2" s="87" t="s">
        <v>411</v>
      </c>
      <c r="D2" s="88" t="s">
        <v>992</v>
      </c>
      <c r="E2" s="88" t="s">
        <v>4</v>
      </c>
      <c r="F2" s="88" t="s">
        <v>1413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1420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2</v>
      </c>
    </row>
    <row r="221" spans="1:23" hidden="1">
      <c r="A221" s="146" t="str">
        <f>IF(SP_SUL!Y224="","*",SP_SUL!Y224)</f>
        <v>*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0.33333333333333331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>
        <f ca="1">_xlfn.XLOOKUP(G222&amp;$V$2,BS_CONTROLE[CHAVE],BS_CONTROLE[Quantidade_11],"-")</f>
        <v>88</v>
      </c>
      <c r="W222" s="137">
        <f ca="1">_xlfn.XLOOKUP(G222&amp;$W$2,BS_CONTROLE[CHAVE],BS_CONTROLE[Quantidade_11],"-")</f>
        <v>0</v>
      </c>
    </row>
    <row r="223" spans="1:23" hidden="1">
      <c r="A223" s="146" t="str">
        <f>IF(SP_SUL!Y226="","*",SP_SUL!Y226)</f>
        <v>*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0.125</v>
      </c>
      <c r="R223" s="145" t="str">
        <f>IF(SP_SUL!Q226="","*",CONCATENATE(SP_SUL!Q226," ",SP_SUL!R226))</f>
        <v>3120 M</v>
      </c>
      <c r="S223" s="145" t="str">
        <f>IF(SP_SUL!V226="","*",SP_SUL!V226)</f>
        <v>PCM</v>
      </c>
      <c r="T223" s="145" t="str">
        <f>IF(SP_SUL!W226="","*",SP_SUL!W226)</f>
        <v xml:space="preserve">Descarga de trrilho 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*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*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200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 t="str">
        <f>IF(SP_SUL!B233="","*",SP_SUL!B233)</f>
        <v>*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0.375</v>
      </c>
      <c r="Q230" s="143">
        <f>IF(SP_SUL!P233="","*",SP_SUL!P233)</f>
        <v>0.125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1</v>
      </c>
      <c r="V230" s="137">
        <f ca="1">_xlfn.XLOOKUP(G230&amp;$V$2,BS_CONTROLE[CHAVE],BS_CONTROLE[Quantidade_11],"-")</f>
        <v>3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 t="str">
        <f>IF(SP_SUL!B234="","*",SP_SUL!B234)</f>
        <v>*</v>
      </c>
      <c r="G231" s="145" t="str">
        <f>IF(SP_SUL!D234="","*",SP_SUL!D234)</f>
        <v>V89</v>
      </c>
      <c r="H231" s="145" t="str">
        <f>IF(SP_SUL!F234="","*",SP_SUL!F234)</f>
        <v>MECANIZAÇÃO - SOCADORA</v>
      </c>
      <c r="I231" s="145" t="str">
        <f>IF(SP_SUL!H234="","*",SP_SUL!H234)</f>
        <v>102ZKW2</v>
      </c>
      <c r="J231" s="145" t="str">
        <f>IF(SP_SUL!I234="","*",SP_SUL!I234)</f>
        <v>102ZKW2</v>
      </c>
      <c r="K231" s="139" t="str">
        <f>IF(SP_SUL!M234="","*",SP_SUL!M234)</f>
        <v>ZKW-ZLU</v>
      </c>
      <c r="L231" s="139" t="str">
        <f>IF(SP_SUL!N234="","*",SP_SUL!N234)</f>
        <v>ZLU1052</v>
      </c>
      <c r="M231" s="140">
        <f>IF(SP_SUL!J234="","*",SP_SUL!J234)</f>
        <v>55</v>
      </c>
      <c r="N231" s="144">
        <f>IF(SP_SUL!K234="","*",SP_SUL!K234)</f>
        <v>106</v>
      </c>
      <c r="O231" s="144" t="str">
        <f>IF(SP_SUL!L234="","*",SP_SUL!L234)</f>
        <v>-</v>
      </c>
      <c r="P231" s="143">
        <f>IF(SP_SUL!O234="","*",SP_SUL!O234)</f>
        <v>0.35416666666666669</v>
      </c>
      <c r="Q231" s="143">
        <f>IF(SP_SUL!P234="","*",SP_SUL!P234)</f>
        <v>0.125</v>
      </c>
      <c r="R231" s="145" t="str">
        <f>IF(SP_SUL!Q234="","*",CONCATENATE(SP_SUL!Q234," ",SP_SUL!R234))</f>
        <v>480 M</v>
      </c>
      <c r="S231" s="145" t="str">
        <f>IF(SP_SUL!V234="","*",SP_SUL!V234)</f>
        <v>Antonioni</v>
      </c>
      <c r="T231" s="145" t="str">
        <f>IF(SP_SUL!W234="","*",SP_SUL!W234)</f>
        <v xml:space="preserve">Socaria mecanizada 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920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 t="str">
        <f>IF(SP_SUL!B239="","*",SP_SUL!B239)</f>
        <v>*</v>
      </c>
      <c r="G236" s="145" t="str">
        <f>IF(SP_SUL!D239="","*",SP_SUL!D239)</f>
        <v>MOD ZRB</v>
      </c>
      <c r="H236" s="145" t="str">
        <f>IF(SP_SUL!F239="","*",SP_SUL!F239)</f>
        <v>BLOCO</v>
      </c>
      <c r="I236" s="145" t="str">
        <f>IF(SP_SUL!H239="","*",SP_SUL!H239)</f>
        <v>-</v>
      </c>
      <c r="J236" s="145" t="str">
        <f>IF(SP_SUL!I239="","*",SP_SUL!I239)</f>
        <v>-</v>
      </c>
      <c r="K236" s="139" t="str">
        <f>IF(SP_SUL!M239="","*",SP_SUL!M239)</f>
        <v>ZRB-ZEV</v>
      </c>
      <c r="L236" s="139" t="str">
        <f>IF(SP_SUL!N239="","*",SP_SUL!N239)</f>
        <v>ZRBZEV</v>
      </c>
      <c r="M236" s="140">
        <f>IF(SP_SUL!J239="","*",SP_SUL!J239)</f>
        <v>48</v>
      </c>
      <c r="N236" s="144">
        <f>IF(SP_SUL!K239="","*",SP_SUL!K239)</f>
        <v>152.19999999999999</v>
      </c>
      <c r="O236" s="144">
        <f>IF(SP_SUL!L239="","*",SP_SUL!L239)</f>
        <v>159</v>
      </c>
      <c r="P236" s="143">
        <f>IF(SP_SUL!O239="","*",SP_SUL!O239)</f>
        <v>0.33333333333333331</v>
      </c>
      <c r="Q236" s="143">
        <f>IF(SP_SUL!P239="","*",SP_SUL!P239)</f>
        <v>0.33333333333333331</v>
      </c>
      <c r="R236" s="145" t="str">
        <f>IF(SP_SUL!Q239="","*",CONCATENATE(SP_SUL!Q239," ",SP_SUL!R239))</f>
        <v>1 BINÁRIO</v>
      </c>
      <c r="S236" s="145" t="str">
        <f>IF(SP_SUL!V239="","*",SP_SUL!V239)</f>
        <v xml:space="preserve">Alisson 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>
        <f ca="1">_xlfn.XLOOKUP(G236&amp;$V$2,BS_CONTROLE[CHAVE],BS_CONTROLE[Quantidade_11],"-")</f>
        <v>1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 t="str">
        <f>IF(SP_SUL!B240="","*",SP_SUL!B240)</f>
        <v>*</v>
      </c>
      <c r="G237" s="145" t="str">
        <f>IF(SP_SUL!D240="","*",SP_SUL!D240)</f>
        <v>W97</v>
      </c>
      <c r="H237" s="145" t="str">
        <f>IF(SP_SUL!F240="","*",SP_SUL!F240)</f>
        <v>MODERNIZAÇÃO - DORMENTE - DESCARGA</v>
      </c>
      <c r="I237" s="145" t="str">
        <f>IF(SP_SUL!H240="","*",SP_SUL!H240)</f>
        <v>ZEM1</v>
      </c>
      <c r="J237" s="145" t="str">
        <f>IF(SP_SUL!I240="","*",SP_SUL!I240)</f>
        <v>ZEM1</v>
      </c>
      <c r="K237" s="139" t="str">
        <f>IF(SP_SUL!M240="","*",SP_SUL!M240)</f>
        <v>ZRB-ZEV</v>
      </c>
      <c r="L237" s="139">
        <f>IF(SP_SUL!N240="","*",SP_SUL!N240)</f>
        <v>1561551</v>
      </c>
      <c r="M237" s="140">
        <f>IF(SP_SUL!J240="","*",SP_SUL!J240)</f>
        <v>48</v>
      </c>
      <c r="N237" s="144">
        <f>IF(SP_SUL!K240="","*",SP_SUL!K240)</f>
        <v>155.69999999999999</v>
      </c>
      <c r="O237" s="144" t="str">
        <f>IF(SP_SUL!L240="","*",SP_SUL!L240)</f>
        <v>-</v>
      </c>
      <c r="P237" s="143">
        <f>IF(SP_SUL!O240="","*",SP_SUL!O240)</f>
        <v>0.29166666666666669</v>
      </c>
      <c r="Q237" s="143">
        <f>IF(SP_SUL!P240="","*",SP_SUL!P240)</f>
        <v>6.9444444444444447E-4</v>
      </c>
      <c r="R237" s="145" t="str">
        <f>IF(SP_SUL!Q240="","*",CONCATENATE(SP_SUL!Q240," ",SP_SUL!R240))</f>
        <v>1 Nº DE DORMENTES</v>
      </c>
      <c r="S237" s="145" t="str">
        <f>IF(SP_SUL!V240="","*",SP_SUL!V240)</f>
        <v xml:space="preserve">Alisson 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 t="str">
        <f>IF(SP_SUL!B241="","*",SP_SUL!B241)</f>
        <v>*</v>
      </c>
      <c r="G238" s="145" t="str">
        <f>IF(SP_SUL!D241="","*",SP_SUL!D241)</f>
        <v>V96</v>
      </c>
      <c r="H238" s="145" t="str">
        <f>IF(SP_SUL!F241="","*",SP_SUL!F241)</f>
        <v>MODERNIZAÇÃO - SOCADORA</v>
      </c>
      <c r="I238" s="145" t="str">
        <f>IF(SP_SUL!H241="","*",SP_SUL!H241)</f>
        <v>K67ZEV2</v>
      </c>
      <c r="J238" s="145" t="str">
        <f>IF(SP_SUL!I241="","*",SP_SUL!I241)</f>
        <v>K67ZEV2</v>
      </c>
      <c r="K238" s="139" t="str">
        <f>IF(SP_SUL!M241="","*",SP_SUL!M241)</f>
        <v>ZRB-ZEV</v>
      </c>
      <c r="L238" s="139" t="str">
        <f>IF(SP_SUL!N241="","*",SP_SUL!N241)</f>
        <v>ZEV1571</v>
      </c>
      <c r="M238" s="140">
        <f>IF(SP_SUL!J241="","*",SP_SUL!J241)</f>
        <v>48</v>
      </c>
      <c r="N238" s="144">
        <f>IF(SP_SUL!K241="","*",SP_SUL!K241)</f>
        <v>157.30000000000001</v>
      </c>
      <c r="O238" s="144" t="str">
        <f>IF(SP_SUL!L241="","*",SP_SUL!L241)</f>
        <v>-</v>
      </c>
      <c r="P238" s="143">
        <f>IF(SP_SUL!O241="","*",SP_SUL!O241)</f>
        <v>0.30555555555555558</v>
      </c>
      <c r="Q238" s="143">
        <f>IF(SP_SUL!P241="","*",SP_SUL!P241)</f>
        <v>6.9444444444444447E-4</v>
      </c>
      <c r="R238" s="145" t="str">
        <f>IF(SP_SUL!Q241="","*",CONCATENATE(SP_SUL!Q241," ",SP_SUL!R241))</f>
        <v>1 M</v>
      </c>
      <c r="S238" s="145" t="str">
        <f>IF(SP_SUL!V241="","*",SP_SUL!V241)</f>
        <v xml:space="preserve">Alisson 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 t="str">
        <f>IF(SP_SUL!B242="","*",SP_SUL!B242)</f>
        <v>*</v>
      </c>
      <c r="G239" s="145" t="str">
        <f>IF(SP_SUL!D242="","*",SP_SUL!D242)</f>
        <v>WAGNER (TP-903)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ZRB-ZEV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156.33199999999999</v>
      </c>
      <c r="O239" s="144">
        <f>IF(SP_SUL!L242="","*",SP_SUL!L242)</f>
        <v>156.34399999999999</v>
      </c>
      <c r="P239" s="143">
        <f>IF(SP_SUL!O242="","*",SP_SUL!O242)</f>
        <v>0.33333333333333331</v>
      </c>
      <c r="Q239" s="143">
        <f>IF(SP_SUL!P242="","*",SP_SUL!P242)</f>
        <v>6.9444444444444447E-4</v>
      </c>
      <c r="R239" s="145" t="str">
        <f>IF(SP_SUL!Q242="","*",CONCATENATE(SP_SUL!Q242," ",SP_SUL!R242))</f>
        <v>2 Nº DE SOLDA</v>
      </c>
      <c r="S239" s="145" t="str">
        <f>IF(SP_SUL!V242="","*",SP_SUL!V242)</f>
        <v xml:space="preserve">Alisson 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 t="str">
        <f>IF(SP_SUL!B243="","*",SP_SUL!B243)</f>
        <v>*</v>
      </c>
      <c r="G240" s="145" t="str">
        <f>IF(SP_SUL!D243="","*",SP_SUL!D243)</f>
        <v>CAIQUE (TMA-677)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156.93</v>
      </c>
      <c r="O240" s="144">
        <f>IF(SP_SUL!L243="","*",SP_SUL!L243)</f>
        <v>156.958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2</v>
      </c>
      <c r="W240" s="137">
        <f ca="1">_xlfn.XLOOKUP(G240&amp;$W$2,BS_CONTROLE[CHAVE],BS_CONTROLE[Quantidade_11],"-")</f>
        <v>1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1421</v>
      </c>
      <c r="C2" s="121" t="s">
        <v>977</v>
      </c>
      <c r="D2" s="76" t="s">
        <v>979</v>
      </c>
      <c r="E2" s="76" t="s">
        <v>1422</v>
      </c>
      <c r="F2" s="99" t="s">
        <v>1423</v>
      </c>
      <c r="G2" s="76" t="s">
        <v>1424</v>
      </c>
      <c r="H2" s="76" t="s">
        <v>1425</v>
      </c>
      <c r="I2" s="76" t="s">
        <v>1426</v>
      </c>
      <c r="J2" s="76" t="s">
        <v>1427</v>
      </c>
      <c r="K2" s="78" t="s">
        <v>1428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*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*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V89</v>
      </c>
      <c r="E230" s="94" t="str">
        <f>IF(SP_SUL!H234="","*",SP_SUL!H234)</f>
        <v>102ZKW2</v>
      </c>
      <c r="F230" s="100" t="str">
        <f>IF(SP_SUL!M234="","*",SP_SUL!M234)</f>
        <v>ZKW-ZLU</v>
      </c>
      <c r="G230" s="95" t="str">
        <f>IF(SP_SUL!I234="","*",SP_SUL!I234)</f>
        <v>102ZKW2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MOD ZRB</v>
      </c>
      <c r="E235" s="94" t="str">
        <f>IF(SP_SUL!H239="","*",SP_SUL!H239)</f>
        <v>-</v>
      </c>
      <c r="F235" s="100" t="str">
        <f>IF(SP_SUL!M239="","*",SP_SUL!M239)</f>
        <v>ZRB-ZEV</v>
      </c>
      <c r="G235" s="95" t="str">
        <f>IF(SP_SUL!I239="","*",SP_SUL!I239)</f>
        <v>-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W97</v>
      </c>
      <c r="E236" s="94" t="str">
        <f>IF(SP_SUL!H240="","*",SP_SUL!H240)</f>
        <v>ZEM1</v>
      </c>
      <c r="F236" s="100" t="str">
        <f>IF(SP_SUL!M240="","*",SP_SUL!M240)</f>
        <v>ZRB-ZEV</v>
      </c>
      <c r="G236" s="95" t="str">
        <f>IF(SP_SUL!I240="","*",SP_SUL!I240)</f>
        <v>ZEM1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V96</v>
      </c>
      <c r="E237" s="94" t="str">
        <f>IF(SP_SUL!H241="","*",SP_SUL!H241)</f>
        <v>K67ZEV2</v>
      </c>
      <c r="F237" s="100" t="str">
        <f>IF(SP_SUL!M241="","*",SP_SUL!M241)</f>
        <v>ZRB-ZEV</v>
      </c>
      <c r="G237" s="95" t="str">
        <f>IF(SP_SUL!I241="","*",SP_SUL!I241)</f>
        <v>K67ZEV2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WAGNER (TP-903)</v>
      </c>
      <c r="E238" s="94" t="str">
        <f>IF(SP_SUL!H242="","*",SP_SUL!H242)</f>
        <v>-</v>
      </c>
      <c r="F238" s="100" t="str">
        <f>IF(SP_SUL!M242="","*",SP_SUL!M242)</f>
        <v>ZRB-ZEV</v>
      </c>
      <c r="G238" s="95" t="str">
        <f>IF(SP_SUL!I242="","*",SP_SUL!I242)</f>
        <v>-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CAIQUE (TMA-677)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2026-02-09T16:03:43Z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