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25" documentId="8_{B6337239-1A00-434D-AAD0-422EA1FEB5AE}" xr6:coauthVersionLast="47" xr6:coauthVersionMax="47" xr10:uidLastSave="{B27631D1-590D-4514-969B-8D15DDB77E4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Planilha2" sheetId="17" r:id="rId6"/>
    <sheet name="Planilha3" sheetId="18" r:id="rId7"/>
    <sheet name="Planilha4" sheetId="19" r:id="rId8"/>
    <sheet name="CONTROLE D" sheetId="11" r:id="rId9"/>
    <sheet name="CONTROLE D+1" sheetId="12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9" hidden="1">'CONTROLE D+1'!$A$2:$Y$3002</definedName>
    <definedName name="_xlnm._FilterDatabase" localSheetId="8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9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9" i="11" l="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S363" i="1" a="1"/>
  <c r="S363" i="1"/>
  <c r="D361" i="12" s="1"/>
  <c r="T363" i="1" a="1"/>
  <c r="T363" i="1"/>
  <c r="E361" i="12" s="1"/>
  <c r="G357" i="1"/>
  <c r="G358" i="1"/>
  <c r="G360" i="1"/>
  <c r="G362" i="1"/>
  <c r="G363" i="1"/>
  <c r="G364" i="1"/>
  <c r="G365" i="1"/>
  <c r="G366" i="1"/>
  <c r="G367" i="1"/>
  <c r="G368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U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A362" i="1"/>
  <c r="C362" i="1"/>
  <c r="M362" i="1" a="1"/>
  <c r="M362" i="1" s="1"/>
  <c r="G362" i="11" s="1"/>
  <c r="N362" i="1" a="1"/>
  <c r="N362" i="1" s="1"/>
  <c r="L360" i="12" s="1"/>
  <c r="R362" i="1"/>
  <c r="U362" i="1"/>
  <c r="AI362" i="1"/>
  <c r="BB362" i="1" s="1"/>
  <c r="AJ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363" i="1"/>
  <c r="C363" i="1"/>
  <c r="M363" i="1" a="1"/>
  <c r="M363" i="1" s="1"/>
  <c r="N363" i="1" a="1"/>
  <c r="N363" i="1" s="1"/>
  <c r="L361" i="12" s="1"/>
  <c r="R363" i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3" i="1" l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<sst xmlns="http://schemas.openxmlformats.org/spreadsheetml/2006/main" count="9682" uniqueCount="1969">
  <si>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</si>
  <si>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</si>
  <si>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</si>
  <si>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</si>
  <si>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</si>
  <si>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</si>
  <si>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</si>
  <si>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</si>
  <si>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</si>
  <si>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</si>
  <si>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</si>
  <si>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</si>
  <si>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</si>
  <si>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</si>
  <si>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</si>
  <si>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</si>
  <si>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</si>
  <si>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</si>
  <si>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</si>
  <si>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</si>
  <si>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</si>
  <si>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</si>
  <si>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</si>
  <si>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</si>
  <si>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</si>
  <si>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</si>
  <si>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</si>
  <si>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</si>
  <si>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</si>
  <si>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</si>
  <si>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</si>
  <si>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</si>
  <si>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</si>
  <si>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</si>
  <si>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</si>
  <si>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</si>
  <si>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</si>
  <si>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</si>
  <si>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</si>
  <si>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</si>
  <si>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</si>
  <si>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</si>
  <si>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</si>
  <si>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</si>
  <si>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</si>
  <si>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</si>
  <si>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</si>
  <si>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</si>
  <si>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</si>
  <si>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</si>
  <si>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</si>
  <si>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</si>
  <si>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</si>
  <si>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</si>
  <si>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</si>
  <si>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</si>
  <si>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</si>
  <si>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</si>
  <si>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</si>
  <si>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</si>
  <si>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</si>
  <si>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</si>
  <si>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</si>
  <si>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</si>
  <si>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</si>
  <si>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</si>
  <si>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</si>
  <si>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</si>
  <si>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</si>
  <si>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</si>
  <si>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</si>
  <si>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</si>
  <si>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</si>
  <si>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</si>
  <si>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</si>
  <si>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</si>
  <si>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</si>
  <si>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</si>
  <si>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</si>
  <si>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</si>
  <si>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</si>
  <si>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</si>
  <si>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</si>
  <si>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</si>
  <si>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</si>
  <si>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</si>
  <si>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</si>
  <si>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</si>
  <si>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</si>
  <si>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</si>
  <si>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</si>
  <si>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</si>
  <si>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</si>
  <si>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</si>
  <si>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</si>
  <si>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</si>
  <si>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</si>
  <si>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</si>
  <si>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</si>
  <si>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</si>
  <si>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</si>
  <si>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</si>
  <si>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</si>
  <si>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</si>
  <si>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</si>
  <si>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</si>
  <si>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</si>
  <si>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</si>
  <si>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</si>
  <si>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</si>
  <si>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</si>
  <si>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</si>
  <si>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</si>
  <si>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</si>
  <si>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</si>
  <si>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</si>
  <si>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</si>
  <si>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</si>
  <si>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</si>
  <si>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</si>
  <si>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</si>
  <si>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</si>
  <si>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</si>
  <si>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</si>
  <si>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</si>
  <si>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</si>
  <si>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</si>
  <si>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</si>
  <si>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</si>
  <si>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</si>
  <si>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</si>
  <si>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</si>
  <si>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</si>
  <si>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</si>
  <si>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</si>
  <si>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</si>
  <si>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</si>
  <si>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</si>
  <si>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</si>
  <si>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</si>
  <si>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</si>
  <si>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</si>
  <si>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</si>
  <si>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</si>
  <si>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</si>
  <si>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</si>
  <si>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</si>
  <si>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</si>
  <si>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</si>
  <si>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</si>
  <si>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</si>
  <si>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</si>
  <si>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</si>
  <si>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</si>
  <si>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</si>
  <si>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</si>
  <si>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</si>
  <si>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</si>
  <si>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</si>
  <si>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</si>
  <si>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</si>
  <si>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</si>
  <si>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</si>
  <si>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</si>
  <si>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</si>
  <si>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</si>
  <si>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</si>
  <si>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</si>
  <si>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</si>
  <si>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</si>
  <si>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</si>
  <si>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</si>
  <si>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</si>
  <si>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</si>
  <si>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</si>
  <si>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</si>
  <si>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</si>
  <si>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</si>
  <si>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</si>
  <si>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</si>
  <si>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</si>
  <si>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</si>
  <si>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</si>
  <si>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</si>
  <si>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</si>
  <si>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</si>
  <si>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</si>
  <si>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</si>
  <si>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</si>
  <si>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</si>
  <si>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</si>
  <si>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</si>
  <si>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</si>
  <si>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</si>
  <si>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</si>
  <si>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</si>
  <si>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</si>
  <si>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</si>
  <si>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</si>
  <si>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</si>
  <si>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</si>
  <si>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</si>
  <si>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</si>
  <si>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</si>
  <si>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</si>
  <si>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</si>
  <si>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</si>
  <si>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</si>
  <si>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</si>
  <si>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</si>
  <si>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</si>
  <si>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</si>
  <si>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</si>
  <si>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</si>
  <si>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</si>
  <si>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</si>
  <si>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</si>
  <si>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</si>
  <si>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</si>
  <si>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</si>
  <si>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</si>
  <si>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</si>
  <si>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</si>
  <si>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</si>
  <si>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</si>
  <si>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</si>
  <si>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</si>
  <si>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</si>
  <si>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</si>
  <si>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</si>
  <si>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</si>
  <si>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</si>
  <si>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</si>
  <si>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</si>
  <si>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</si>
  <si>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</si>
  <si>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</si>
  <si>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</si>
  <si>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</si>
  <si>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</si>
  <si>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</si>
  <si>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</si>
  <si>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</si>
  <si>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</si>
  <si>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</si>
  <si>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</si>
  <si>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</si>
  <si>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</si>
  <si>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</si>
  <si>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</si>
  <si>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</si>
  <si>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</si>
  <si>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</si>
  <si>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</si>
  <si>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</si>
  <si>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</si>
  <si>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</si>
  <si>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</si>
  <si>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</si>
  <si>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</si>
  <si>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</si>
  <si>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</si>
  <si>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</si>
  <si>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</si>
  <si>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</si>
  <si>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</si>
  <si>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</si>
  <si>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</si>
  <si>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</si>
  <si>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</si>
  <si>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</si>
  <si>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</si>
  <si>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</si>
  <si>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</si>
  <si>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</si>
  <si>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</si>
  <si>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</si>
  <si>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</si>
  <si>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</si>
  <si>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</si>
  <si>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</si>
  <si>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</si>
  <si>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</si>
  <si>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</si>
  <si>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</si>
  <si>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</si>
  <si>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</si>
  <si>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</si>
  <si>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</si>
  <si>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</si>
  <si>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</si>
  <si>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</si>
  <si>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</si>
  <si>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</si>
  <si>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</si>
  <si>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</si>
  <si>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</si>
  <si>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</si>
  <si>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</si>
  <si>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</si>
  <si>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</si>
  <si>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</si>
  <si>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</si>
  <si>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</si>
  <si>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</si>
  <si>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</si>
  <si>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</si>
  <si>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</si>
  <si>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</si>
  <si>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</si>
  <si>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</si>
  <si>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</si>
  <si>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</si>
  <si>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</si>
  <si>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</si>
  <si>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</si>
  <si>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</si>
  <si>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</si>
  <si>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</si>
  <si>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</si>
  <si>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</si>
  <si>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</si>
  <si>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</si>
  <si>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</si>
  <si>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</si>
  <si>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</si>
  <si>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</si>
  <si>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</si>
  <si>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</si>
  <si>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</si>
  <si>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</si>
  <si>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</si>
  <si>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</si>
  <si>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</si>
  <si>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</si>
  <si>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</si>
  <si>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</si>
  <si>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</si>
  <si>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</si>
  <si>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</si>
  <si>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</si>
  <si>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</si>
  <si>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</si>
  <si>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</si>
  <si>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</si>
  <si>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</si>
  <si>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</si>
  <si>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</si>
  <si>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</si>
  <si>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</si>
  <si>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</si>
  <si>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</si>
  <si>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</si>
  <si>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</si>
  <si>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</si>
  <si>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</si>
  <si>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</si>
  <si>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</si>
  <si>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</si>
  <si>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</si>
  <si>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</si>
  <si>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</si>
  <si>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</si>
  <si>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</si>
  <si>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</si>
  <si>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</si>
  <si>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</si>
  <si>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</si>
  <si>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</si>
  <si>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</si>
  <si>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</si>
  <si>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</si>
  <si>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</si>
  <si>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</si>
  <si>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</si>
  <si>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</si>
  <si>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</si>
  <si>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</si>
  <si>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</si>
  <si>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</si>
  <si>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</si>
  <si>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</si>
  <si>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</si>
  <si>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</si>
  <si>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</si>
  <si>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</si>
  <si>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</si>
  <si>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</si>
  <si>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</si>
  <si>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</si>
  <si>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</si>
  <si>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</si>
  <si>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</si>
  <si>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</si>
  <si>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</si>
  <si>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</si>
  <si>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</si>
  <si>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</si>
  <si>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</si>
  <si>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</si>
  <si>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</si>
  <si>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</si>
  <si>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</si>
  <si>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</si>
  <si>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</si>
  <si>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</si>
  <si>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</si>
  <si>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</si>
  <si>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</si>
  <si>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</si>
  <si>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</si>
  <si>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</si>
  <si>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</si>
  <si>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</si>
  <si>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</si>
  <si>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</si>
  <si>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</si>
  <si>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</si>
  <si>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</si>
  <si>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</si>
  <si>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</si>
  <si>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</si>
  <si>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</si>
  <si>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</si>
  <si>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</si>
  <si>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</si>
  <si>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</si>
  <si>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</si>
  <si>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</si>
  <si>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</si>
  <si>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</si>
  <si>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</si>
  <si>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</si>
  <si>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</si>
  <si>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</si>
  <si>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</si>
  <si>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</si>
  <si>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</si>
  <si>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</si>
  <si>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</si>
  <si>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</si>
  <si>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</si>
  <si>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</si>
  <si>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</si>
  <si>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</si>
  <si>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</si>
  <si>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</si>
  <si>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</si>
  <si>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</si>
  <si>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</si>
  <si>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</si>
  <si>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</si>
  <si>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</si>
  <si>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</si>
  <si>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</si>
  <si>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</si>
  <si>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</si>
  <si>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</si>
  <si>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</si>
  <si>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</si>
  <si>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</si>
  <si>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</si>
  <si>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</si>
  <si>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</si>
  <si>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</si>
  <si>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</si>
  <si>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</si>
  <si>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</si>
  <si>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</si>
  <si>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</si>
  <si>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</si>
  <si>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</si>
  <si>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</si>
  <si>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</si>
  <si>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</si>
  <si>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</si>
  <si>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</si>
  <si>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</si>
  <si>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</si>
  <si>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</si>
  <si>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</si>
  <si>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</si>
  <si>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</si>
  <si>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</si>
  <si>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</si>
  <si>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</si>
  <si>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</si>
  <si>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</si>
  <si>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</si>
  <si>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</si>
  <si>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</si>
  <si>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</si>
  <si>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</si>
  <si>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</si>
  <si>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</si>
  <si>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</si>
  <si>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</si>
  <si>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</si>
  <si>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</si>
  <si>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</si>
  <si>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</si>
  <si>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</si>
  <si>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</si>
  <si>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</si>
  <si>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</si>
  <si>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</si>
  <si>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</si>
  <si>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</si>
  <si>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</si>
  <si>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</si>
  <si>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</si>
  <si>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</si>
  <si>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</si>
  <si>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</si>
  <si>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</si>
  <si>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</si>
  <si>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</si>
  <si>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</si>
  <si>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</si>
  <si>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</si>
  <si>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</si>
  <si>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</si>
  <si>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</si>
  <si>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</si>
  <si>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</si>
  <si>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</si>
  <si>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</si>
  <si>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</si>
  <si>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</si>
  <si>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</si>
  <si>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</si>
  <si>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</si>
  <si>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</si>
  <si>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</si>
  <si>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</si>
  <si>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</si>
  <si>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</si>
  <si>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</si>
  <si>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</si>
  <si>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</si>
  <si>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</si>
  <si>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</si>
  <si>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</si>
  <si>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</si>
  <si>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</si>
  <si>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</si>
  <si>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</si>
  <si>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</si>
  <si>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</si>
  <si>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</si>
  <si>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</si>
  <si>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</si>
  <si>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</si>
  <si>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</si>
  <si>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</si>
  <si>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</si>
  <si>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</si>
  <si>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</si>
  <si>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</si>
  <si>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</si>
  <si>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</si>
  <si>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</si>
  <si>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</si>
  <si>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</si>
  <si>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</si>
  <si>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</si>
  <si>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</si>
  <si>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</si>
  <si>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</si>
  <si>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</si>
  <si>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</si>
  <si>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</si>
  <si>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</si>
  <si>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</si>
  <si>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</si>
  <si>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</si>
  <si>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</si>
  <si>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</si>
  <si>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</si>
  <si>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</si>
  <si>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</si>
  <si>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</si>
  <si>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</si>
  <si>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</si>
  <si>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</si>
  <si>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</si>
  <si>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</si>
  <si>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</si>
  <si>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</si>
  <si>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</si>
  <si>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</si>
  <si>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</si>
  <si>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</si>
  <si>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</si>
  <si>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</si>
  <si>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</si>
  <si>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</si>
  <si>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</si>
  <si>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</si>
  <si>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</si>
  <si>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</si>
  <si>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</si>
  <si>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</si>
  <si>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</si>
  <si>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</si>
  <si>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</si>
  <si>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</si>
  <si>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</si>
  <si>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</si>
  <si>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</si>
  <si>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</si>
  <si>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</si>
  <si>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</si>
  <si>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</si>
  <si>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</si>
  <si>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</si>
  <si>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</si>
  <si>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</si>
  <si>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</si>
  <si>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</si>
  <si>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</si>
  <si>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</si>
  <si>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</si>
  <si>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</si>
  <si>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</si>
  <si>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</si>
  <si>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</si>
  <si>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</si>
  <si>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</si>
  <si>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</si>
  <si>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</si>
  <si>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</si>
  <si>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</si>
  <si>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</si>
  <si>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</si>
  <si>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</si>
  <si>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</si>
  <si>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</si>
  <si>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</si>
  <si>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</si>
  <si>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</si>
  <si>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</si>
  <si>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</si>
  <si>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</si>
  <si>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</si>
  <si>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</si>
  <si>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</si>
  <si>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</si>
  <si>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</si>
  <si>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</si>
  <si>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</si>
  <si>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</si>
  <si>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</si>
  <si>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</si>
  <si>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</si>
  <si>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</si>
  <si>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</si>
  <si>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</si>
  <si>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</si>
  <si>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</si>
  <si>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</si>
  <si>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</si>
  <si>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</si>
  <si>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</si>
  <si>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</si>
  <si>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</si>
  <si>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</si>
  <si>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</si>
  <si>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</si>
  <si>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</si>
  <si>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</si>
  <si>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</si>
  <si>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</si>
  <si>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</si>
  <si>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</si>
  <si>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</si>
  <si>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</si>
  <si>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</si>
  <si>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</si>
  <si>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</si>
  <si>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</si>
  <si>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</si>
  <si>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</si>
  <si>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</si>
  <si>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</si>
  <si>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</si>
  <si>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</si>
  <si>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</si>
  <si>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</si>
  <si>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</si>
  <si>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</si>
  <si>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</si>
  <si>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</si>
  <si>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</si>
  <si>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</si>
  <si>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</si>
  <si>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</si>
  <si>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</si>
  <si>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</si>
  <si>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</si>
  <si>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</si>
  <si>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</si>
  <si>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</si>
  <si>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</si>
  <si>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</si>
  <si>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</si>
  <si>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</si>
  <si>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</si>
  <si>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</si>
  <si>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</si>
  <si>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</si>
  <si>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</si>
  <si>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</si>
  <si>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</si>
  <si>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</si>
  <si>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</si>
  <si>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</si>
  <si>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</si>
  <si>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</si>
  <si>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</si>
  <si>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</si>
  <si>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</si>
  <si>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</si>
  <si>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</si>
  <si>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</si>
  <si>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</si>
  <si>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</si>
  <si>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</si>
  <si>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</si>
  <si>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</si>
  <si>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</si>
  <si>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</si>
  <si>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</si>
  <si>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</si>
  <si>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</si>
  <si>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</si>
  <si>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</si>
  <si>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</si>
  <si>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</si>
  <si>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</si>
  <si>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</si>
  <si>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</si>
  <si>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</si>
  <si>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</si>
  <si>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</si>
  <si>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</si>
  <si>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</si>
  <si>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</si>
  <si>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</si>
  <si>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</si>
  <si>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</si>
  <si>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</si>
  <si>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</si>
  <si>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</si>
  <si>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</si>
  <si>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</si>
  <si>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</si>
  <si>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</si>
  <si>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</si>
  <si>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</si>
  <si>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</si>
  <si>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</si>
  <si>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</si>
  <si>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</si>
  <si>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</si>
  <si>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</si>
  <si>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</si>
  <si>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</si>
  <si>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</si>
  <si>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</si>
  <si>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</si>
  <si>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</si>
  <si>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</si>
  <si>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</si>
  <si>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</si>
  <si>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</si>
  <si>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</si>
  <si>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</si>
  <si>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</si>
  <si>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</si>
  <si>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</si>
  <si>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</si>
  <si>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</si>
  <si>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</si>
  <si>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</si>
  <si>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</si>
  <si>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</si>
  <si>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</si>
  <si>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</si>
  <si>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</si>
  <si>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</si>
  <si>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</si>
  <si>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</si>
  <si>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</si>
  <si>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</si>
  <si>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</si>
  <si>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</si>
  <si>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</si>
  <si>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</si>
  <si>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</si>
  <si>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</si>
  <si>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</si>
  <si>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</si>
  <si>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</si>
  <si>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</si>
  <si>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</si>
  <si>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</si>
  <si>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</si>
  <si>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</si>
  <si>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</si>
  <si>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</si>
  <si>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</si>
  <si>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</si>
  <si>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</si>
  <si>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</si>
  <si>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</si>
  <si>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</si>
  <si>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</si>
  <si>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</si>
  <si>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</si>
  <si>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</si>
  <si>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</si>
  <si>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</si>
  <si>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</si>
  <si>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</si>
  <si>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</si>
  <si>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</si>
  <si>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</si>
  <si>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</si>
  <si>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</si>
  <si>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</si>
  <si>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</si>
  <si>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</si>
  <si>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</si>
  <si>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</si>
  <si>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</si>
  <si>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</si>
  <si>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</si>
  <si>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</si>
  <si>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</si>
  <si>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</si>
  <si>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</si>
  <si>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</si>
  <si>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</si>
  <si>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</si>
  <si>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</si>
  <si>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</si>
  <si>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</si>
  <si>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</si>
  <si>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</si>
  <si>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</si>
  <si>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</si>
  <si>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</si>
  <si>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</si>
  <si>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</si>
  <si>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</si>
  <si>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</si>
  <si>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</si>
  <si>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</si>
  <si>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</si>
  <si>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</si>
  <si>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</si>
  <si>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</si>
  <si>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</si>
  <si>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</si>
  <si>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</si>
  <si>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</si>
  <si>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</si>
  <si>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</si>
  <si>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</si>
  <si>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</si>
  <si>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</si>
  <si>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</si>
  <si>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</si>
  <si>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</si>
  <si>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</si>
  <si>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</si>
  <si>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</si>
  <si>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</si>
  <si>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</si>
  <si>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</si>
  <si>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</si>
  <si>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</si>
  <si>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</si>
  <si>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</si>
  <si>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</si>
  <si>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</si>
  <si>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</si>
  <si>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</si>
  <si>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</si>
  <si>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</si>
  <si>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</si>
  <si>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</si>
  <si>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</si>
  <si>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</si>
  <si>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</si>
  <si>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</si>
  <si>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</si>
  <si>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</si>
  <si>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</si>
  <si>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</si>
  <si>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</si>
  <si>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</si>
  <si>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</si>
  <si>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</si>
  <si>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</si>
  <si>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</si>
  <si>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</si>
  <si>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</si>
  <si>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</si>
  <si>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</si>
  <si>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</si>
  <si>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</si>
  <si>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</si>
  <si>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</si>
  <si>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</si>
  <si>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</si>
  <si>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</si>
  <si>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</si>
  <si>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</si>
  <si>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</si>
  <si>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</si>
  <si>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</si>
  <si>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</si>
  <si>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</si>
  <si>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</si>
  <si>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</si>
  <si>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</si>
  <si>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</si>
  <si>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</si>
  <si>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</si>
  <si>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</si>
  <si>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</si>
  <si>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</si>
  <si>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</si>
  <si>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</si>
  <si>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</si>
  <si>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</si>
  <si>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</si>
  <si>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</si>
  <si>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</si>
  <si>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</si>
  <si>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</si>
  <si>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</si>
  <si>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</si>
  <si>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</si>
  <si>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</si>
  <si>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</si>
  <si>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</si>
  <si>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</si>
  <si>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</si>
  <si>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</si>
  <si>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</si>
  <si>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</si>
  <si>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</si>
  <si>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</si>
  <si>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</si>
  <si>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</si>
  <si>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</si>
  <si>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</si>
  <si>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</si>
  <si>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</si>
  <si>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</si>
  <si>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</si>
  <si>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</si>
  <si>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</si>
  <si>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</si>
  <si>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</si>
  <si>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</si>
  <si>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</si>
  <si>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</si>
  <si>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</si>
  <si>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</si>
  <si>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</si>
  <si>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</si>
  <si>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</si>
  <si>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</si>
  <si>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</si>
  <si>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</si>
  <si>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</si>
  <si>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</si>
  <si>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</si>
  <si>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</si>
  <si>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</si>
  <si>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</si>
  <si>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</si>
  <si>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</si>
  <si>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</si>
  <si>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</si>
  <si>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</si>
  <si>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</si>
  <si>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</si>
  <si>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</si>
  <si>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</si>
  <si>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</si>
  <si>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</si>
  <si>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</si>
  <si>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</si>
  <si>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</si>
  <si>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</si>
  <si>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</si>
  <si>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</si>
  <si>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</si>
  <si>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</si>
  <si>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</si>
  <si>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</si>
  <si>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</si>
  <si>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</si>
  <si>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</si>
  <si>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</si>
  <si>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</si>
  <si>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</si>
  <si>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</si>
  <si>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</si>
  <si>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</si>
  <si>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</si>
  <si>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</si>
  <si>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</si>
  <si>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</si>
  <si>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</si>
  <si>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</si>
  <si>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</si>
  <si>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</si>
  <si>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</si>
  <si>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</si>
  <si>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</si>
  <si>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</si>
  <si>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</si>
  <si>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</si>
  <si>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</si>
  <si>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</si>
  <si>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</si>
  <si>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</si>
  <si>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</si>
  <si>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</si>
  <si>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</si>
  <si>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</si>
  <si>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</si>
  <si>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</si>
  <si>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</si>
  <si>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</si>
  <si>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</si>
  <si>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</si>
  <si>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</si>
  <si>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</si>
  <si>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</si>
  <si>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</si>
  <si>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</si>
  <si>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</si>
  <si>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</si>
  <si>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</si>
  <si>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</si>
  <si>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</si>
  <si>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</si>
  <si>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</si>
  <si>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</si>
  <si>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</si>
  <si>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</si>
  <si>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</si>
  <si>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</si>
  <si>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</si>
  <si>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</si>
  <si>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</si>
  <si>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</si>
  <si>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</si>
  <si>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</si>
  <si>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</si>
  <si>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</si>
  <si>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</si>
  <si>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</si>
  <si>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</si>
  <si>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</si>
  <si>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</si>
  <si>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</si>
  <si>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</si>
  <si>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</si>
  <si>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</si>
  <si>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</si>
  <si>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</si>
  <si>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</si>
  <si>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</si>
  <si>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</si>
  <si>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</si>
  <si>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</si>
  <si>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</si>
  <si>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</si>
  <si>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</si>
  <si>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</si>
  <si>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</si>
  <si>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</si>
  <si>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</si>
  <si>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</si>
  <si>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</si>
  <si>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</si>
  <si>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</si>
  <si>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</si>
  <si>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</si>
  <si>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</si>
  <si>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</si>
  <si>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</si>
  <si>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</si>
  <si>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</si>
  <si>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</si>
  <si>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</si>
  <si>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</si>
  <si>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</si>
  <si>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</si>
  <si>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</si>
  <si>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</si>
  <si>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</si>
  <si>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</si>
  <si>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</si>
  <si>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</si>
  <si>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</si>
  <si>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</si>
  <si>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</si>
  <si>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</si>
  <si>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</si>
  <si>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</si>
  <si>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</si>
  <si>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</si>
  <si>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</si>
  <si>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</si>
  <si>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</si>
  <si>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</si>
  <si>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</si>
  <si>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</si>
  <si>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</si>
  <si>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</si>
  <si>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</si>
  <si>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</si>
  <si>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</si>
  <si>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</si>
  <si>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</si>
  <si>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</si>
  <si>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</si>
  <si>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</si>
  <si>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</si>
  <si>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</si>
  <si>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</si>
  <si>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</si>
  <si>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</si>
  <si>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</si>
  <si>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</si>
  <si>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</si>
  <si>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</si>
  <si>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</si>
  <si>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</si>
  <si>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</si>
  <si>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</si>
  <si>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</si>
  <si>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</si>
  <si>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</si>
  <si>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</si>
  <si>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</si>
  <si>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</si>
  <si>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</si>
  <si>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</si>
  <si>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</si>
  <si>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</si>
  <si>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</si>
  <si>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</si>
  <si>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</si>
  <si>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</si>
  <si>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</si>
  <si>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</si>
  <si>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</si>
  <si>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</si>
  <si>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</si>
  <si>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</si>
  <si>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</si>
  <si>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</si>
  <si>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</si>
  <si>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</si>
  <si>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</si>
  <si>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</si>
  <si>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</si>
  <si>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</si>
  <si>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</si>
  <si>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</si>
  <si>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</si>
  <si>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</si>
  <si>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</si>
  <si>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</si>
  <si>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</si>
  <si>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</si>
  <si>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</si>
  <si>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</si>
  <si>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</si>
  <si>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</si>
  <si>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</si>
  <si>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</si>
  <si>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</si>
  <si>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</si>
  <si>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</si>
  <si>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</si>
  <si>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</si>
  <si>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</si>
  <si>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</si>
  <si>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</si>
  <si>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</si>
  <si>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</si>
  <si>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</si>
  <si>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</si>
  <si>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</si>
  <si>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</si>
  <si>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</si>
  <si>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</si>
  <si>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</si>
  <si>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</si>
  <si>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</si>
  <si>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</si>
  <si>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</si>
  <si>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</si>
  <si>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</si>
  <si>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</si>
  <si>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</si>
  <si>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</si>
  <si>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</si>
  <si>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</si>
  <si>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</si>
  <si>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</si>
  <si>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</si>
  <si>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</si>
  <si>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</si>
  <si>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</si>
  <si>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</si>
  <si>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</si>
  <si>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</si>
  <si>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</si>
  <si>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</si>
  <si>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</si>
  <si>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</si>
  <si>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</si>
  <si>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</si>
  <si>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</si>
  <si>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</si>
  <si>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</si>
  <si>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</si>
  <si>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</si>
  <si>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</si>
  <si>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</si>
  <si>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</si>
  <si>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</si>
  <si>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</si>
  <si>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</si>
  <si>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</si>
  <si>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</si>
  <si>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</si>
  <si>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</si>
  <si>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</si>
  <si>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</si>
  <si>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</si>
  <si>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</si>
  <si>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</si>
  <si>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</si>
  <si>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</si>
  <si>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</si>
  <si>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</si>
  <si>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</si>
  <si>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</si>
  <si>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</si>
  <si>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</si>
  <si>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</si>
  <si>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</si>
  <si>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</si>
  <si>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</si>
  <si>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</si>
  <si>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</si>
  <si>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</si>
  <si>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</si>
  <si>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</si>
  <si>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</si>
  <si>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</si>
  <si>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</si>
  <si>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</si>
  <si>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</si>
  <si>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</si>
  <si>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</si>
  <si>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</si>
  <si>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</si>
  <si>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</si>
  <si>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</si>
  <si>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</si>
  <si>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</si>
  <si>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</si>
  <si>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</si>
  <si>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</si>
  <si>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</si>
  <si>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</si>
  <si>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</si>
  <si>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</si>
  <si>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</si>
  <si>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</si>
  <si>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</si>
  <si>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</si>
  <si>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</si>
  <si>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</si>
  <si>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</si>
  <si>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</si>
  <si>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</si>
  <si>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</si>
  <si>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</si>
  <si>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</si>
  <si>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</si>
  <si>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</si>
  <si>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</si>
  <si>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</si>
  <si>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</si>
  <si>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</si>
  <si>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</si>
  <si>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</si>
  <si>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</si>
  <si>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</si>
  <si>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</si>
  <si>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</si>
  <si>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</si>
  <si>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</si>
  <si>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</si>
  <si>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</si>
  <si>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</si>
  <si>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</si>
  <si>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</si>
  <si>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</si>
  <si>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</si>
  <si>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</si>
  <si>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</si>
  <si>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</si>
  <si>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</si>
  <si>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</si>
  <si>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</si>
  <si>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</si>
  <si>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</si>
  <si>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</si>
  <si>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</si>
  <si>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</si>
  <si>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</si>
  <si>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</si>
  <si>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</si>
  <si>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</si>
  <si>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</si>
  <si>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</si>
  <si>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</si>
  <si>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</si>
  <si>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</si>
  <si>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</si>
  <si>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</si>
  <si>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</si>
  <si>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</si>
  <si>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</si>
  <si>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</si>
  <si>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</si>
  <si>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</si>
  <si>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</si>
  <si>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</si>
  <si>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</si>
  <si>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</si>
  <si>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</si>
  <si>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</si>
  <si>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</si>
  <si>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</si>
  <si>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</si>
  <si>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</si>
  <si>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</si>
  <si>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</si>
  <si>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</si>
  <si>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</si>
  <si>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</si>
  <si>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</si>
  <si>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</si>
  <si>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</si>
  <si>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</si>
  <si>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</si>
  <si>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</si>
  <si>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</si>
  <si>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</si>
  <si>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</si>
  <si>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</si>
  <si>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</si>
  <si>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</si>
  <si>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</si>
  <si>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</si>
  <si>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</si>
  <si>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</si>
  <si>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</si>
  <si>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</si>
  <si>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</si>
  <si>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</si>
  <si>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</si>
  <si>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</si>
  <si>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</si>
  <si>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</si>
  <si>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</si>
  <si>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</si>
  <si>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</si>
  <si>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</si>
  <si>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</si>
  <si>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</si>
  <si>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</si>
  <si>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</si>
  <si>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</si>
  <si>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</si>
  <si>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</si>
  <si>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</si>
  <si>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</si>
  <si>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</si>
  <si>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</si>
  <si>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</si>
  <si>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</si>
  <si>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</si>
  <si>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</si>
  <si>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</si>
  <si>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</si>
  <si>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</si>
  <si>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</si>
  <si>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</si>
  <si>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</si>
  <si>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</si>
  <si>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</si>
  <si>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</si>
  <si>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</si>
  <si>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</si>
  <si>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</si>
  <si>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</si>
  <si>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</si>
  <si>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</si>
  <si>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</si>
  <si>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</si>
  <si>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</si>
  <si>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</si>
  <si>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</si>
  <si>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</si>
  <si>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</si>
  <si>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</si>
  <si>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</si>
  <si>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</si>
  <si>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</si>
  <si>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</si>
  <si>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</si>
  <si>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</si>
  <si>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</si>
  <si>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</si>
  <si>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</si>
  <si>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</si>
  <si>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</si>
  <si>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</si>
  <si>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</si>
  <si>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</si>
  <si>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</si>
  <si>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</si>
  <si>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</si>
  <si>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</si>
  <si>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</si>
  <si>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</si>
  <si>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</si>
  <si>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</si>
  <si>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</si>
  <si>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</si>
  <si>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</si>
  <si>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</si>
  <si>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</si>
  <si>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</si>
  <si>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</si>
  <si>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</si>
  <si>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</si>
  <si>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</si>
  <si>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</si>
  <si>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</si>
  <si>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</si>
  <si>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</si>
  <si>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</si>
  <si>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</si>
  <si>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</si>
  <si>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</si>
  <si>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</si>
  <si>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</si>
  <si>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</si>
  <si>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</si>
  <si>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</si>
  <si>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</si>
  <si>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</si>
  <si>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</si>
  <si>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</si>
  <si>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</si>
  <si>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</si>
  <si>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</si>
  <si>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</si>
  <si>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</si>
  <si>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</si>
  <si>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</si>
  <si>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</si>
  <si>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</si>
  <si>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</si>
  <si>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</si>
  <si>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</si>
  <si>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</si>
  <si>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</si>
  <si>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</si>
  <si>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</si>
  <si>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</si>
  <si>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</si>
  <si>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</si>
  <si>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</si>
  <si>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</si>
  <si>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</si>
  <si>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</si>
  <si>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</si>
  <si>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</si>
  <si>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</si>
  <si>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</si>
  <si>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</si>
  <si>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</si>
  <si>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</si>
  <si>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</si>
  <si>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</si>
  <si>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</si>
  <si>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</si>
  <si>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</si>
  <si>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</si>
  <si>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</si>
  <si>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</si>
  <si>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</si>
  <si>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</si>
  <si>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</si>
  <si>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</si>
  <si>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</si>
  <si>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</si>
  <si>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</si>
  <si>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</si>
  <si>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</si>
  <si>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</si>
  <si>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</si>
  <si>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</si>
  <si>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</si>
  <si>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</si>
  <si>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</si>
  <si>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</si>
  <si>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</si>
  <si>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</si>
  <si>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</si>
  <si>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</si>
  <si>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</si>
  <si>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</si>
  <si>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</si>
  <si>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</si>
  <si>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</si>
  <si>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</si>
  <si>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</si>
  <si>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</si>
  <si>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</si>
  <si>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</si>
  <si>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</si>
  <si>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</si>
  <si>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</si>
  <si>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</si>
  <si>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</si>
  <si>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</si>
  <si>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</si>
  <si>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</si>
  <si>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</si>
  <si>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</si>
  <si>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</si>
  <si>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</si>
  <si>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</si>
  <si>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</si>
  <si>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</si>
  <si>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</si>
  <si>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</si>
  <si>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</si>
  <si>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</si>
  <si>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</si>
  <si>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</si>
  <si>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</si>
  <si>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</si>
  <si>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</si>
  <si>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</si>
  <si>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</si>
  <si>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</si>
  <si>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</si>
  <si>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</si>
  <si>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</si>
  <si>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</si>
  <si>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</si>
  <si>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</si>
  <si>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</si>
  <si>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</si>
  <si>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</si>
  <si>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</si>
  <si>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</si>
  <si>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</si>
  <si>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</si>
  <si>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</si>
  <si>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</si>
  <si>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</si>
  <si>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</si>
  <si>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</si>
  <si>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</si>
  <si>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</si>
  <si>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</si>
  <si>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</si>
  <si>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</si>
  <si>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</si>
  <si>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</si>
  <si>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</si>
  <si>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</si>
  <si>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</si>
  <si>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</si>
  <si>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</si>
  <si>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</si>
  <si>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</si>
  <si>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</si>
  <si>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</si>
  <si>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</si>
  <si>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</si>
  <si>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</si>
  <si>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</si>
  <si>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</si>
  <si>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</si>
  <si>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</si>
  <si>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</si>
  <si>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</si>
  <si>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</si>
  <si>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</si>
  <si>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</si>
  <si>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</si>
  <si>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</si>
  <si>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</si>
  <si>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</si>
  <si>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</si>
  <si>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</si>
  <si>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</si>
  <si>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</si>
  <si>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</si>
  <si>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</si>
  <si>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</si>
  <si>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</si>
  <si>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</si>
  <si>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</si>
  <si>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</si>
  <si>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</si>
  <si>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</si>
  <si>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</si>
  <si>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</si>
  <si>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</si>
  <si>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</si>
  <si>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</si>
  <si>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</si>
  <si>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</si>
  <si>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</si>
  <si>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</si>
  <si>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</si>
  <si>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</si>
  <si>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</si>
  <si>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</si>
  <si>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</si>
  <si>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</si>
  <si>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</si>
  <si>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</si>
  <si>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</si>
  <si>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</si>
  <si>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</si>
  <si>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</si>
  <si>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</si>
  <si>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</si>
  <si>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</si>
  <si>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</si>
  <si>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</si>
  <si>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</si>
  <si>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</si>
  <si>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</si>
  <si>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</si>
  <si>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</si>
  <si>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</si>
  <si>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</si>
  <si>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</si>
  <si>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</si>
  <si>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</si>
  <si>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</si>
  <si>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</si>
  <si>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</si>
  <si>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</si>
  <si>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</si>
  <si>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</si>
  <si>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</si>
  <si>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</si>
  <si>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</si>
  <si>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</si>
  <si>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</si>
  <si>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</si>
  <si>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</si>
  <si>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</si>
  <si>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</si>
  <si>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</si>
  <si>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</si>
  <si>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</si>
  <si>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</si>
  <si>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</si>
  <si>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</si>
  <si>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</si>
  <si>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</si>
  <si>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</si>
  <si>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</si>
  <si>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</si>
  <si>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</si>
  <si>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</si>
  <si>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</si>
  <si>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</si>
  <si>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</si>
  <si>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</si>
  <si>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</si>
  <si>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</si>
  <si>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</si>
  <si>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</si>
  <si>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</si>
  <si>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</si>
  <si>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</si>
  <si>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</si>
  <si>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</si>
  <si>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</si>
  <si>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</si>
  <si>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</si>
  <si>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</si>
  <si>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</si>
  <si>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</si>
  <si>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</si>
  <si>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</si>
  <si>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</si>
  <si>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</si>
  <si>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</si>
  <si>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</si>
  <si>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</si>
  <si>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</si>
  <si>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</si>
  <si>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</si>
  <si>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</si>
  <si>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</si>
  <si>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</si>
  <si>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</si>
  <si>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</si>
  <si>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</si>
  <si>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</si>
  <si>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</si>
  <si>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</si>
  <si>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</si>
  <si>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</si>
  <si>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</si>
  <si>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</si>
  <si>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</si>
  <si>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</si>
  <si>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</si>
  <si>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</si>
  <si>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</si>
  <si>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</si>
  <si>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</si>
  <si>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</si>
  <si>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</si>
  <si>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</si>
  <si>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</si>
  <si>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</si>
  <si>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</si>
  <si>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</si>
  <si>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</si>
  <si>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</si>
  <si>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</si>
  <si>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</si>
  <si>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</si>
  <si>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</si>
  <si>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</si>
  <si>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</si>
  <si>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</si>
  <si>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</si>
  <si>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</si>
  <si>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</si>
  <si>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</si>
  <si>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</si>
  <si>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</si>
  <si>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</si>
  <si>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</si>
  <si>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</si>
  <si>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</si>
  <si>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</si>
  <si>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</si>
  <si>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</si>
  <si>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</si>
  <si>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</si>
  <si>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</si>
  <si>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</si>
  <si>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</si>
  <si>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</si>
  <si>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</si>
  <si>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</si>
  <si>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</si>
  <si>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</si>
  <si>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</si>
  <si>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</si>
  <si>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</si>
  <si>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</si>
  <si>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</si>
  <si>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</si>
  <si>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</si>
  <si>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</si>
  <si>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</si>
  <si>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</si>
  <si>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</si>
  <si>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</si>
  <si>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</si>
  <si>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</si>
  <si>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</si>
  <si>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</si>
  <si>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</si>
  <si>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</si>
  <si>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</si>
  <si>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</si>
  <si>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</si>
  <si>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</si>
  <si>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</si>
  <si>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</si>
  <si>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</si>
  <si>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</si>
  <si>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</si>
  <si>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</si>
  <si>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</si>
  <si>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</si>
  <si>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</si>
  <si>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</si>
  <si>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</si>
  <si>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</si>
  <si>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</si>
  <si>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</si>
  <si>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</si>
  <si>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</si>
  <si>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</si>
  <si>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</si>
  <si>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</si>
  <si>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</si>
  <si>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</si>
  <si>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</si>
  <si>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</si>
  <si>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</si>
  <si>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</si>
  <si>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</si>
  <si>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</si>
  <si>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</si>
  <si>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</si>
  <si>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</si>
  <si>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</si>
  <si>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</si>
  <si>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</si>
  <si>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</si>
  <si>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</si>
  <si>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</si>
  <si>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</si>
  <si>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</si>
  <si>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</si>
  <si>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</si>
  <si>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</si>
  <si>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</si>
  <si>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</si>
  <si>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</si>
  <si>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</si>
  <si>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</si>
  <si>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</si>
  <si>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</si>
  <si>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</si>
  <si>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</si>
  <si>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</si>
  <si>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</si>
  <si>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</si>
  <si>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</si>
  <si>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</si>
  <si>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</si>
  <si>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</si>
  <si>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</si>
  <si>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</si>
  <si>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</si>
  <si>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</si>
  <si>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</si>
  <si>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</si>
  <si>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</si>
  <si>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</si>
  <si>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</si>
  <si>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</si>
  <si>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</si>
  <si>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</si>
  <si>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</si>
  <si>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</si>
  <si>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</si>
  <si>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</si>
  <si>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</si>
  <si>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</si>
  <si>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</si>
  <si>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</si>
  <si>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</si>
  <si>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</si>
  <si>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</si>
  <si>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</si>
  <si>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</si>
  <si>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</si>
  <si>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</si>
  <si>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</si>
  <si>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</si>
  <si>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Deslocamento para TGR (Podemos anexar no W50 em TOM para seguir a TGR)</t>
  </si>
  <si>
    <t>MC1 as 07:57h/ previsão de faixa para deslocamento até local de trabalho as 11:10h</t>
  </si>
  <si>
    <t>Em intervalo as 12:19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</si>
  <si>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</si>
  <si>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</si>
  <si>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</si>
  <si>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</si>
  <si>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</si>
  <si>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por TOM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</si>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</sst>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S353" activePane="bottomRight" state="frozen"/>
      <selection pane="bottomRight" activeCell="V353" sqref="V3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/>
      <c r="AS353" s="240"/>
      <c r="AT353" s="240"/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1901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0.5131944444444444</v>
      </c>
      <c r="AT355" s="240"/>
      <c r="AU355" s="240"/>
      <c r="AV355" s="240"/>
      <c r="AW355" s="240"/>
      <c r="AX355" s="38"/>
      <c r="AY355" s="309" t="str">
        <f>IF(D355="","*",IFERROR(IF(ISODD(COUNT(AS355:AX355)),"ERRO",SUM((AT355-AS355),(AV355-AU355),(AX355-AW355))),"ERRO"))</f>
        <v>ERRO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1902</v>
      </c>
      <c r="BK355" s="16" t="s">
        <v>1903</v>
      </c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1904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1905</v>
      </c>
      <c r="X356" s="216" t="s">
        <v>965</v>
      </c>
      <c r="Y356" s="158"/>
      <c r="Z356" s="158"/>
      <c r="AA356" s="83" t="s">
        <v>1906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1907</v>
      </c>
      <c r="BK356" s="16" t="s">
        <v>1908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1909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1910</v>
      </c>
      <c r="W357" s="343" t="s">
        <v>1911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1912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1913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1914</v>
      </c>
      <c r="BK358" s="16" t="s">
        <v>1915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1916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1917</v>
      </c>
      <c r="N359" s="202" t="s">
        <v>1918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1919</v>
      </c>
      <c r="BK359" s="16" t="s">
        <v>1741</v>
      </c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1920</v>
      </c>
      <c r="BK360" s="16" t="s">
        <v>1920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/>
      <c r="B361" s="171"/>
      <c r="C361" s="8"/>
      <c r="D361" s="51"/>
      <c r="E361" s="311"/>
      <c r="F361" s="172"/>
      <c r="G361" s="9"/>
      <c r="H361" s="173"/>
      <c r="I361" s="173"/>
      <c r="J361" s="215"/>
      <c r="K361" s="215"/>
      <c r="L361" s="83"/>
      <c r="M361" s="202"/>
      <c r="N361" s="202"/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3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3"/>
        <v/>
      </c>
    </row>
    <row r="365" spans="1:72">
      <c r="A365" s="50" t="str">
        <f>D365&amp;B365</f>
        <v>A8046021</v>
      </c>
      <c r="B365" s="171">
        <v>46021</v>
      </c>
      <c r="C365" s="8">
        <f>IF(BS_CONTROLE[[#This Row],[DATA]]="","",WEEKNUM(BS_CONTROLE[[#This Row],[DATA]]))</f>
        <v>53</v>
      </c>
      <c r="D365" s="51" t="s">
        <v>734</v>
      </c>
      <c r="E365" s="310">
        <v>345</v>
      </c>
      <c r="F365" s="172" t="s">
        <v>630</v>
      </c>
      <c r="G365" s="9" t="str">
        <f>IF(D365="","*",VLOOKUP(F365,BS_ATIVIDADE[#All],3,FALSE))</f>
        <v>DETECÇÃO</v>
      </c>
      <c r="H365" s="173" t="s">
        <v>47</v>
      </c>
      <c r="I365" s="173" t="s">
        <v>78</v>
      </c>
      <c r="J365" s="215">
        <v>98</v>
      </c>
      <c r="K365" s="215">
        <v>616</v>
      </c>
      <c r="L365" s="83">
        <v>754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5" s="173">
        <v>0.33333333333333331</v>
      </c>
      <c r="P365" s="173">
        <v>4.1666666666666664E-2</v>
      </c>
      <c r="Q365" s="83">
        <v>130</v>
      </c>
      <c r="R365" s="10" t="str">
        <f>IFERROR(_xlfn.XLOOKUP(F365, BS_ATIVIDADE[ATIVIDADE],BS_ATIVIDADE[UNIDADE] ), "*")</f>
        <v>KM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5" s="80" t="str">
        <f>IFERROR(_xlfn.XLOOKUP(J365, BASE_MAPA!$D$2:$D$359, BASE_MAPA!$I$2:$I$359), "ERRO")</f>
        <v>ALTO ARAGUAIA - RONDONOPOLIS</v>
      </c>
      <c r="V365" s="196" t="s">
        <v>1573</v>
      </c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DETECÇÃO - RONDA 7 DIAS</v>
      </c>
      <c r="AJ365" s="9" t="str">
        <f>IF(D365="","*",VLOOKUP(AI365,BS_ATIVIDADE[#Data],3,FALSE))</f>
        <v>DETECÇÃO</v>
      </c>
      <c r="AK365" s="276" t="str">
        <f>IF(BS_CONTROLE[[#This Row],[Local - Partida]]=0, "-", BS_CONTROLE[[#This Row],[Local - Partida]])</f>
        <v>TIQ</v>
      </c>
      <c r="AL365" s="276" t="str">
        <f>IF(BS_CONTROLE[[#This Row],[Local - Encerramento]]=0, "-", BS_CONTROLE[[#This Row],[Local - Encerramento]])</f>
        <v>TRO</v>
      </c>
      <c r="AM365" s="276" t="str">
        <f>IF(BS_CONTROLE[[#This Row],[Entre - Estações]]=0, "-", BS_CONTROLE[[#This Row],[Entre - Estações]])</f>
        <v>TIQ</v>
      </c>
      <c r="AN365" s="276" t="str">
        <f>IF(BS_CONTROLE[[#This Row],[SB]]=0, "-", BS_CONTROLE[[#This Row],[SB]])</f>
        <v>TIQ1</v>
      </c>
      <c r="AO365" s="277">
        <f>IF(BS_CONTROLE[[#This Row],[SUB]]=0, "-", BS_CONTROLE[[#This Row],[SUB]])</f>
        <v>98</v>
      </c>
      <c r="AP365" s="278">
        <f>IF(BS_CONTROLE[[#This Row],[KM - Inicio]]=0, "-", BS_CONTROLE[[#This Row],[KM - Inicio]])</f>
        <v>616</v>
      </c>
      <c r="AQ365" s="278">
        <f>IF(BS_CONTROLE[[#This Row],[KM - Fim]]=0, "-", BS_CONTROLE[[#This Row],[KM - Fim]])</f>
        <v>754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KM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5" s="11" t="str">
        <f>IFERROR(_xlfn.XLOOKUP(AO365, BASE_MAPA!$D$2:$D$359, BASE_MAPA!$I$2:$I$359), "ERRO")</f>
        <v>ALTO ARAGUAIA - RONDONOPOLIS</v>
      </c>
      <c r="BF365" s="279" t="str">
        <f>IF(BS_CONTROLE[[#This Row],[Responsavel pelo boletim]]=0, "-", BS_CONTROLE[[#This Row],[Responsavel pelo boletim]])</f>
        <v>Heldo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3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366" s="173">
        <v>0.33333333333333331</v>
      </c>
      <c r="P366" s="173">
        <v>4.1666666666666664E-2</v>
      </c>
      <c r="Q366" s="83">
        <v>200</v>
      </c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TRC</v>
      </c>
      <c r="AN366" s="276" t="str">
        <f>IF(BS_CONTROLE[[#This Row],[SB]]=0, "-", BS_CONTROLE[[#This Row],[SB]])</f>
        <v>291TRC1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>E4646022</v>
      </c>
      <c r="B371" s="171">
        <v>46022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/>
      <c r="P371" s="173"/>
      <c r="Q371" s="83"/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e">
        <f>IF(AND(BR371&lt;1,BS371&lt;1),"Produção e Intervalo",IF(BR371&lt;1,"Intervalo",IF(BS371&lt;1,"Produção","Aderente")))</f>
        <v>#DIV/0!</v>
      </c>
      <c r="BR371" s="18" t="e">
        <f>IF(OR(B371="",F371=""),"*",AY371/P371)</f>
        <v>#DIV/0!</v>
      </c>
      <c r="BS371" s="18" t="e">
        <f>IF(OR(B371="",F371=""),"*",BA371/Q371)</f>
        <v>#DIV/0!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1921</v>
      </c>
      <c r="D5" s="388"/>
      <c r="E5" s="388"/>
      <c r="F5" s="388"/>
      <c r="G5" s="388"/>
      <c r="H5" s="388"/>
      <c r="I5" s="388"/>
      <c r="J5" s="389"/>
      <c r="K5" s="390" t="s">
        <v>1922</v>
      </c>
      <c r="L5" s="391"/>
      <c r="M5" s="391"/>
      <c r="N5" s="391"/>
      <c r="O5" s="392" t="s">
        <v>1923</v>
      </c>
      <c r="P5" s="393"/>
      <c r="Q5" s="394"/>
    </row>
    <row r="6" spans="1:17" s="93" customFormat="1" ht="15.75" customHeight="1">
      <c r="A6" s="87" t="s">
        <v>1924</v>
      </c>
      <c r="B6" s="94" t="s">
        <v>1925</v>
      </c>
      <c r="C6" s="95" t="s">
        <v>1172</v>
      </c>
      <c r="D6" s="96" t="s">
        <v>1173</v>
      </c>
      <c r="E6" s="95" t="s">
        <v>1926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1927</v>
      </c>
      <c r="M6" s="139" t="s">
        <v>627</v>
      </c>
      <c r="N6" s="140" t="s">
        <v>1167</v>
      </c>
      <c r="O6" s="244" t="s">
        <v>1210</v>
      </c>
      <c r="P6" s="157"/>
      <c r="Q6" s="192" t="s">
        <v>1928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*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*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TOM2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TOM2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*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 t="str">
        <f>IF(FN_MC!B362="","*",FN_MC!B362)</f>
        <v>*</v>
      </c>
      <c r="B362" s="98" t="str">
        <f>IF(FN_MC!X362="","*",FN_MC!X362)</f>
        <v>*</v>
      </c>
      <c r="C362" s="99" t="str">
        <f>IF(FN_MC!S362="","*",FN_MC!S362)</f>
        <v>-</v>
      </c>
      <c r="D362" s="99" t="str">
        <f>IF(FN_MC!T362="","*",FN_MC!T362)</f>
        <v>-</v>
      </c>
      <c r="E362" s="99" t="str">
        <f>IF(FN_MC!D362="","*",FN_MC!D362)</f>
        <v>*</v>
      </c>
      <c r="F362" s="99" t="str">
        <f>IF(FN_MC!H362="","*",FN_MC!H362)</f>
        <v>*</v>
      </c>
      <c r="G362" s="99" t="str">
        <f>IF(FN_MC!M362="","*",FN_MC!M362)</f>
        <v>-</v>
      </c>
      <c r="H362" s="154" t="str">
        <f>IF(FN_MC!K362="","*",FN_MC!K362)</f>
        <v>*</v>
      </c>
      <c r="I362" s="132" t="str">
        <f>IF(FN_MC!O362="","*",FN_MC!O362)</f>
        <v>*</v>
      </c>
      <c r="J362" s="132" t="str">
        <f>IF(FN_MC!P362="","*",FN_MC!P362)</f>
        <v>*</v>
      </c>
      <c r="K362" s="141" t="str">
        <f>IF(FN_MC!AK362="","*",FN_MC!AK362)</f>
        <v>-</v>
      </c>
      <c r="L362" s="141" t="str">
        <f>IF(FN_MC!AM362="","*",FN_MC!AM362)</f>
        <v>-</v>
      </c>
      <c r="M362" s="141" t="str">
        <f>IF(FN_MC!AP362="","*",FN_MC!AP362)</f>
        <v>-</v>
      </c>
      <c r="N362" s="141" t="str">
        <f>IF(FN_MC!AM362="","*",FN_MC!AM362)</f>
        <v>-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1928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1929</v>
      </c>
      <c r="W1" s="400"/>
      <c r="X1" s="400"/>
      <c r="Y1" s="104"/>
    </row>
    <row r="2" spans="1:25" s="100" customFormat="1" ht="11.25" customHeight="1">
      <c r="A2" s="105" t="s">
        <v>1930</v>
      </c>
      <c r="B2" s="105" t="s">
        <v>1925</v>
      </c>
      <c r="C2" s="105" t="s">
        <v>603</v>
      </c>
      <c r="D2" s="106" t="s">
        <v>1172</v>
      </c>
      <c r="E2" s="106" t="s">
        <v>1173</v>
      </c>
      <c r="F2" s="106" t="s">
        <v>1924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1931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TOM2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*</v>
      </c>
      <c r="L359" s="110" t="str">
        <f>IF(FN_MC!N361="","*",FN_MC!N361)</f>
        <v>*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TGR-TRO</v>
      </c>
      <c r="F363" s="110">
        <f>IF(FN_MC!B365="","*",FN_MC!B365)</f>
        <v>46021</v>
      </c>
      <c r="G363" s="110" t="str">
        <f>IF(FN_MC!D365="","*",FN_MC!D365)</f>
        <v>A80</v>
      </c>
      <c r="H363" s="110" t="str">
        <f>IF(FN_MC!F365="","*",FN_MC!F365)</f>
        <v>DETECÇÃO - RONDA 7 DIAS</v>
      </c>
      <c r="I363" s="110" t="str">
        <f>IF(FN_MC!H365="","*",FN_MC!H365)</f>
        <v>TIQ</v>
      </c>
      <c r="J363" s="110" t="str">
        <f>IF(FN_MC!I365="","*",FN_MC!I365)</f>
        <v>TRO</v>
      </c>
      <c r="K363" s="110" t="str">
        <f>IF(FN_MC!M365="","*",FN_MC!M365)</f>
        <v>TIQ</v>
      </c>
      <c r="L363" s="110" t="str">
        <f>IF(FN_MC!N365="","*",FN_MC!N365)</f>
        <v>TIQ1</v>
      </c>
      <c r="M363" s="111">
        <f>IF(FN_MC!J365="","*",FN_MC!J365)</f>
        <v>98</v>
      </c>
      <c r="N363" s="288">
        <f>IF(FN_MC!K365="","*",FN_MC!K365)</f>
        <v>616</v>
      </c>
      <c r="O363" s="288">
        <f>IF(FN_MC!L365="","*",FN_MC!L365)</f>
        <v>754</v>
      </c>
      <c r="P363" s="111"/>
      <c r="Q363" s="128">
        <f>IF(FN_MC!O365="","*",FN_MC!O365)</f>
        <v>0.33333333333333331</v>
      </c>
      <c r="R363" s="128">
        <f>IF(FN_MC!P365="","*",FN_MC!P365)</f>
        <v>4.1666666666666664E-2</v>
      </c>
      <c r="S363" s="110" t="str">
        <f>IF(FN_MC!Q365="","*",CONCATENATE(FN_MC!Q365," ",FN_MC!R365))</f>
        <v>130 KM</v>
      </c>
      <c r="T363" s="110" t="str">
        <f>IF(FN_MC!V365="","*",FN_MC!V365)</f>
        <v>Heldo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180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TRC</v>
      </c>
      <c r="L364" s="110" t="str">
        <f>IF(FN_MC!N366="","*",FN_MC!N366)</f>
        <v>291TRC1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46022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1932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1933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1934</v>
      </c>
      <c r="C4" s="318" t="s">
        <v>1935</v>
      </c>
      <c r="D4" s="318" t="s">
        <v>1936</v>
      </c>
      <c r="E4" s="318" t="s">
        <v>1937</v>
      </c>
      <c r="F4" s="318" t="s">
        <v>6</v>
      </c>
      <c r="G4" s="318" t="s">
        <v>1938</v>
      </c>
      <c r="H4" s="191"/>
    </row>
    <row r="5" spans="1:8">
      <c r="A5" s="191"/>
      <c r="B5" s="319" t="s">
        <v>1939</v>
      </c>
      <c r="C5" s="319">
        <v>309525</v>
      </c>
      <c r="D5" s="319" t="s">
        <v>1940</v>
      </c>
      <c r="E5" s="319" t="s">
        <v>845</v>
      </c>
      <c r="F5" s="319" t="s">
        <v>1941</v>
      </c>
      <c r="G5" s="320">
        <v>46296</v>
      </c>
      <c r="H5" s="191"/>
    </row>
    <row r="6" spans="1:8">
      <c r="A6" s="191"/>
      <c r="B6" s="319" t="s">
        <v>1942</v>
      </c>
      <c r="C6" s="319">
        <v>256875</v>
      </c>
      <c r="D6" s="319" t="s">
        <v>1943</v>
      </c>
      <c r="E6" s="319" t="s">
        <v>845</v>
      </c>
      <c r="F6" s="319" t="s">
        <v>1941</v>
      </c>
      <c r="G6" s="320">
        <v>46296</v>
      </c>
      <c r="H6" s="191"/>
    </row>
    <row r="7" spans="1:8">
      <c r="A7" s="191"/>
      <c r="B7" s="319" t="s">
        <v>1944</v>
      </c>
      <c r="C7" s="319">
        <v>257278</v>
      </c>
      <c r="D7" s="319" t="s">
        <v>1945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1946</v>
      </c>
      <c r="C8" s="319">
        <v>261794</v>
      </c>
      <c r="D8" s="319" t="s">
        <v>1947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1948</v>
      </c>
      <c r="C9" s="319">
        <v>257033</v>
      </c>
      <c r="D9" s="319" t="s">
        <v>1949</v>
      </c>
      <c r="E9" s="319" t="s">
        <v>836</v>
      </c>
      <c r="F9" s="319" t="s">
        <v>192</v>
      </c>
      <c r="G9" s="319" t="s">
        <v>1950</v>
      </c>
      <c r="H9" s="191"/>
    </row>
    <row r="10" spans="1:8">
      <c r="A10" s="191"/>
      <c r="B10" s="319" t="s">
        <v>1951</v>
      </c>
      <c r="C10" s="319">
        <v>396578</v>
      </c>
      <c r="D10" s="319" t="s">
        <v>1952</v>
      </c>
      <c r="E10" s="319" t="s">
        <v>836</v>
      </c>
      <c r="F10" s="319" t="s">
        <v>192</v>
      </c>
      <c r="G10" s="319" t="s">
        <v>1950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1953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1954</v>
      </c>
      <c r="E3" s="315" t="s">
        <v>1955</v>
      </c>
      <c r="F3" s="315" t="s">
        <v>1956</v>
      </c>
      <c r="G3" s="315" t="s">
        <v>1957</v>
      </c>
      <c r="H3" s="315" t="s">
        <v>1958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1959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1960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1961</v>
      </c>
      <c r="C2" s="95" t="s">
        <v>1158</v>
      </c>
      <c r="D2" s="95" t="s">
        <v>596</v>
      </c>
      <c r="E2" s="95" t="s">
        <v>1962</v>
      </c>
      <c r="F2" s="95" t="s">
        <v>1963</v>
      </c>
      <c r="G2" s="95" t="s">
        <v>1964</v>
      </c>
      <c r="H2" s="95" t="s">
        <v>1965</v>
      </c>
      <c r="I2" s="95" t="s">
        <v>1966</v>
      </c>
      <c r="J2" s="95" t="s">
        <v>1967</v>
      </c>
      <c r="K2" s="131" t="s">
        <v>1968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TOM2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*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A80</v>
      </c>
      <c r="E363" s="121" t="str">
        <f>IF(FN_MC!H365="","*",FN_MC!H365)</f>
        <v>TIQ</v>
      </c>
      <c r="F363" s="137" t="str">
        <f>IF(FN_MC!M365="","*",FN_MC!M365)</f>
        <v>TIQ</v>
      </c>
      <c r="G363" s="121" t="str">
        <f>IF(FN_MC!I365="","*",FN_MC!I365)</f>
        <v>TRO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TCS291</v>
      </c>
      <c r="F364" s="137" t="str">
        <f>IF(FN_MC!M366="","*",FN_MC!M366)</f>
        <v>TRC</v>
      </c>
      <c r="G364" s="121" t="str">
        <f>IF(FN_MC!I366="","*",FN_MC!I366)</f>
        <v>TGR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46022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2025-12-29T15:59:56Z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