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474" documentId="8_{B6337239-1A00-434D-AAD0-422EA1FEB5AE}" xr6:coauthVersionLast="47" xr6:coauthVersionMax="47" xr10:uidLastSave="{108E4032-707A-4DDC-BD24-BF6BA716C98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2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1" i="1"/>
  <c r="U33" i="1"/>
  <c r="U35" i="1"/>
  <c r="U36" i="1"/>
  <c r="U37" i="1"/>
  <c r="U39" i="1"/>
  <c r="U40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Y31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1" i="16"/>
  <c r="L31" i="16"/>
  <c r="D31" i="16"/>
  <c r="E31" i="16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R36" i="1"/>
  <c r="R33" i="16" s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K35" i="16"/>
  <c r="L35" i="16"/>
  <c r="D35" i="16"/>
  <c r="E35" i="16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 s="1"/>
  <c r="N95" i="1" a="1"/>
  <c r="N95" i="1"/>
  <c r="L92" i="16" s="1"/>
  <c r="R95" i="1"/>
  <c r="S95" i="1" a="1"/>
  <c r="S95" i="1" s="1"/>
  <c r="D92" i="16" s="1"/>
  <c r="T95" i="1" a="1"/>
  <c r="T95" i="1"/>
  <c r="E92" i="16" s="1"/>
  <c r="AI95" i="1"/>
  <c r="AJ95" i="1"/>
  <c r="AK95" i="1"/>
  <c r="K94" i="11" s="1"/>
  <c r="AL95" i="1"/>
  <c r="AN95" i="1"/>
  <c r="AO95" i="1"/>
  <c r="BE95" i="1" s="1"/>
  <c r="AP95" i="1"/>
  <c r="M94" i="11" s="1"/>
  <c r="AQ95" i="1"/>
  <c r="BB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93" i="16" s="1"/>
  <c r="R96" i="1"/>
  <c r="S96" i="1" a="1"/>
  <c r="S96" i="1" s="1"/>
  <c r="D93" i="16" s="1"/>
  <c r="T96" i="1" a="1"/>
  <c r="T96" i="1"/>
  <c r="E93" i="16" s="1"/>
  <c r="AI96" i="1"/>
  <c r="AJ96" i="1"/>
  <c r="AK96" i="1"/>
  <c r="K95" i="11" s="1"/>
  <c r="AL96" i="1"/>
  <c r="AN96" i="1"/>
  <c r="AO96" i="1"/>
  <c r="BE96" i="1" s="1"/>
  <c r="AP96" i="1"/>
  <c r="M95" i="11" s="1"/>
  <c r="AQ96" i="1"/>
  <c r="BB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94" i="16" s="1"/>
  <c r="R97" i="1"/>
  <c r="S97" i="1" a="1"/>
  <c r="S97" i="1" s="1"/>
  <c r="D94" i="16" s="1"/>
  <c r="T97" i="1" a="1"/>
  <c r="T97" i="1"/>
  <c r="E94" i="16" s="1"/>
  <c r="AI97" i="1"/>
  <c r="AJ97" i="1"/>
  <c r="AK97" i="1"/>
  <c r="K96" i="11" s="1"/>
  <c r="AL97" i="1"/>
  <c r="AN97" i="1"/>
  <c r="AO97" i="1"/>
  <c r="BE97" i="1" s="1"/>
  <c r="AP97" i="1"/>
  <c r="M96" i="11" s="1"/>
  <c r="AQ97" i="1"/>
  <c r="BB97" i="1"/>
  <c r="BC97" i="1" a="1"/>
  <c r="BC97" i="1" s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95" i="16" s="1"/>
  <c r="R98" i="1"/>
  <c r="S98" i="1" a="1"/>
  <c r="S98" i="1" s="1"/>
  <c r="D95" i="16" s="1"/>
  <c r="T98" i="1" a="1"/>
  <c r="T98" i="1"/>
  <c r="E95" i="16" s="1"/>
  <c r="AI98" i="1"/>
  <c r="AJ98" i="1"/>
  <c r="AK98" i="1"/>
  <c r="K97" i="11" s="1"/>
  <c r="AL98" i="1"/>
  <c r="AN98" i="1"/>
  <c r="AO98" i="1"/>
  <c r="BE98" i="1" s="1"/>
  <c r="AP98" i="1"/>
  <c r="M97" i="11" s="1"/>
  <c r="AQ98" i="1"/>
  <c r="BB98" i="1"/>
  <c r="BC98" i="1" a="1"/>
  <c r="BC98" i="1" s="1"/>
  <c r="BD98" i="1" a="1"/>
  <c r="BD98" i="1"/>
  <c r="BF98" i="1"/>
  <c r="BR98" i="1"/>
  <c r="BS98" i="1"/>
  <c r="BT98" i="1"/>
  <c r="A99" i="1"/>
  <c r="C99" i="1"/>
  <c r="G99" i="1"/>
  <c r="M99" i="1" a="1"/>
  <c r="M99" i="1" s="1"/>
  <c r="N99" i="1" a="1"/>
  <c r="N99" i="1"/>
  <c r="L96" i="16" s="1"/>
  <c r="R99" i="1"/>
  <c r="S99" i="1" a="1"/>
  <c r="S99" i="1" s="1"/>
  <c r="D96" i="16" s="1"/>
  <c r="T99" i="1" a="1"/>
  <c r="T99" i="1"/>
  <c r="E96" i="16" s="1"/>
  <c r="AI99" i="1"/>
  <c r="AJ99" i="1"/>
  <c r="AK99" i="1"/>
  <c r="K98" i="11" s="1"/>
  <c r="AL99" i="1"/>
  <c r="AN99" i="1"/>
  <c r="AO99" i="1"/>
  <c r="BE99" i="1" s="1"/>
  <c r="AP99" i="1"/>
  <c r="M98" i="11" s="1"/>
  <c r="AQ99" i="1"/>
  <c r="BB99" i="1"/>
  <c r="BC99" i="1" a="1"/>
  <c r="BC99" i="1" s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97" i="16" s="1"/>
  <c r="R100" i="1"/>
  <c r="S100" i="1" a="1"/>
  <c r="S100" i="1" s="1"/>
  <c r="D97" i="16" s="1"/>
  <c r="T100" i="1" a="1"/>
  <c r="T100" i="1"/>
  <c r="E97" i="16" s="1"/>
  <c r="AI100" i="1"/>
  <c r="AJ100" i="1"/>
  <c r="AK100" i="1"/>
  <c r="K99" i="11" s="1"/>
  <c r="AL100" i="1"/>
  <c r="AN100" i="1"/>
  <c r="AO100" i="1"/>
  <c r="BE100" i="1" s="1"/>
  <c r="AP100" i="1"/>
  <c r="M99" i="11" s="1"/>
  <c r="AQ100" i="1"/>
  <c r="BB100" i="1"/>
  <c r="BC100" i="1" a="1"/>
  <c r="BC100" i="1" s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98" i="16" s="1"/>
  <c r="R101" i="1"/>
  <c r="S101" i="1" a="1"/>
  <c r="S101" i="1" s="1"/>
  <c r="D98" i="16" s="1"/>
  <c r="T101" i="1" a="1"/>
  <c r="T101" i="1"/>
  <c r="E98" i="16" s="1"/>
  <c r="AI101" i="1"/>
  <c r="AJ101" i="1"/>
  <c r="AK101" i="1"/>
  <c r="K100" i="11" s="1"/>
  <c r="AL101" i="1"/>
  <c r="AN101" i="1"/>
  <c r="AO101" i="1"/>
  <c r="BE101" i="1" s="1"/>
  <c r="AP101" i="1"/>
  <c r="M100" i="11" s="1"/>
  <c r="AQ101" i="1"/>
  <c r="BB101" i="1"/>
  <c r="BC101" i="1" a="1"/>
  <c r="BC101" i="1" s="1"/>
  <c r="BD101" i="1" a="1"/>
  <c r="BD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/>
  <c r="L99" i="16" s="1"/>
  <c r="R102" i="1"/>
  <c r="S102" i="1" a="1"/>
  <c r="S102" i="1" s="1"/>
  <c r="D99" i="16" s="1"/>
  <c r="T102" i="1" a="1"/>
  <c r="T102" i="1"/>
  <c r="E99" i="16" s="1"/>
  <c r="AI102" i="1"/>
  <c r="AJ102" i="1"/>
  <c r="AK102" i="1"/>
  <c r="K101" i="11" s="1"/>
  <c r="AL102" i="1"/>
  <c r="AN102" i="1"/>
  <c r="AO102" i="1"/>
  <c r="BE102" i="1" s="1"/>
  <c r="AP102" i="1"/>
  <c r="M101" i="11" s="1"/>
  <c r="AQ102" i="1"/>
  <c r="BB102" i="1"/>
  <c r="BC102" i="1" a="1"/>
  <c r="BC102" i="1"/>
  <c r="BD102" i="1" a="1"/>
  <c r="BD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/>
  <c r="L100" i="16" s="1"/>
  <c r="R103" i="1"/>
  <c r="S103" i="1" a="1"/>
  <c r="S103" i="1" s="1"/>
  <c r="D100" i="16" s="1"/>
  <c r="T103" i="1" a="1"/>
  <c r="T103" i="1"/>
  <c r="E100" i="16" s="1"/>
  <c r="AI103" i="1"/>
  <c r="AJ103" i="1"/>
  <c r="AK103" i="1"/>
  <c r="K102" i="11" s="1"/>
  <c r="AL103" i="1"/>
  <c r="AN103" i="1"/>
  <c r="AO103" i="1"/>
  <c r="BE103" i="1" s="1"/>
  <c r="AP103" i="1"/>
  <c r="M102" i="11" s="1"/>
  <c r="AQ103" i="1"/>
  <c r="BB103" i="1"/>
  <c r="BC103" i="1" a="1"/>
  <c r="BC103" i="1"/>
  <c r="BD103" i="1" a="1"/>
  <c r="BD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/>
  <c r="L101" i="16" s="1"/>
  <c r="R104" i="1"/>
  <c r="S104" i="1" a="1"/>
  <c r="S104" i="1" s="1"/>
  <c r="D101" i="16" s="1"/>
  <c r="T104" i="1" a="1"/>
  <c r="T104" i="1"/>
  <c r="E101" i="16" s="1"/>
  <c r="AI104" i="1"/>
  <c r="AJ104" i="1"/>
  <c r="AK104" i="1"/>
  <c r="K103" i="11" s="1"/>
  <c r="AL104" i="1"/>
  <c r="AN104" i="1"/>
  <c r="AO104" i="1"/>
  <c r="BE104" i="1" s="1"/>
  <c r="AP104" i="1"/>
  <c r="M103" i="11" s="1"/>
  <c r="AQ104" i="1"/>
  <c r="BB104" i="1"/>
  <c r="BC104" i="1" a="1"/>
  <c r="BC104" i="1"/>
  <c r="BD104" i="1" a="1"/>
  <c r="BD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/>
  <c r="L102" i="16" s="1"/>
  <c r="R105" i="1"/>
  <c r="S105" i="1" a="1"/>
  <c r="S105" i="1" s="1"/>
  <c r="D102" i="16" s="1"/>
  <c r="T105" i="1" a="1"/>
  <c r="T105" i="1"/>
  <c r="E102" i="16" s="1"/>
  <c r="AI105" i="1"/>
  <c r="AJ105" i="1"/>
  <c r="AK105" i="1"/>
  <c r="K104" i="11" s="1"/>
  <c r="AL105" i="1"/>
  <c r="AN105" i="1"/>
  <c r="AO105" i="1"/>
  <c r="BE105" i="1" s="1"/>
  <c r="AP105" i="1"/>
  <c r="M104" i="11" s="1"/>
  <c r="AQ105" i="1"/>
  <c r="BB105" i="1"/>
  <c r="BC105" i="1" a="1"/>
  <c r="BC105" i="1"/>
  <c r="BD105" i="1" a="1"/>
  <c r="BD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O106" i="1"/>
  <c r="BE106" i="1" s="1"/>
  <c r="AP106" i="1"/>
  <c r="M105" i="11" s="1"/>
  <c r="AQ106" i="1"/>
  <c r="BB106" i="1"/>
  <c r="BC106" i="1" a="1"/>
  <c r="BC106" i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O107" i="1"/>
  <c r="BE107" i="1" s="1"/>
  <c r="AP107" i="1"/>
  <c r="M106" i="11" s="1"/>
  <c r="AQ107" i="1"/>
  <c r="BB107" i="1"/>
  <c r="BC107" i="1" a="1"/>
  <c r="BC107" i="1"/>
  <c r="BD107" i="1" a="1"/>
  <c r="BD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O108" i="1"/>
  <c r="BE108" i="1" s="1"/>
  <c r="AP108" i="1"/>
  <c r="M107" i="11" s="1"/>
  <c r="AQ108" i="1"/>
  <c r="BB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O110" i="1"/>
  <c r="BE110" i="1" s="1"/>
  <c r="AP110" i="1"/>
  <c r="M109" i="11" s="1"/>
  <c r="AQ110" i="1"/>
  <c r="BB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O120" i="1"/>
  <c r="BE120" i="1" s="1"/>
  <c r="AP120" i="1"/>
  <c r="M119" i="11" s="1"/>
  <c r="AQ120" i="1"/>
  <c r="BB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BE160" i="1" s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BE161" i="1" s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2" i="11" s="1"/>
  <c r="AL203" i="1"/>
  <c r="AM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BE210" i="1" s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BE213" i="1" s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BE214" i="1" s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BE217" i="1" s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BE220" i="1" s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BE222" i="1" s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BE223" i="1" s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BE225" i="1" s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BE226" i="1" s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BE228" i="1" s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BE229" i="1" s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BE231" i="1" s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BE234" i="1" s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BE235" i="1" s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BE237" i="1" s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BE238" i="1" s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BE241" i="1" s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BE243" i="1" s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BE244" i="1" s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BE246" i="1" s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BE247" i="1" s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BE249" i="1" s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BE250" i="1" s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BE252" i="1" s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BE255" i="1" s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BE256" i="1" s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BE259" i="1" s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BE262" i="1" s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BE263" i="1" s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BE265" i="1" s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BE268" i="1" s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BE274" i="1" s="1"/>
  <c r="AP274" i="1"/>
  <c r="M27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BE277" i="1" s="1"/>
  <c r="AP277" i="1"/>
  <c r="M27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BE280" i="1" s="1"/>
  <c r="AP280" i="1"/>
  <c r="M27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BE281" i="1" s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BE283" i="1" s="1"/>
  <c r="AP283" i="1"/>
  <c r="M28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BE297" i="1" s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BE298" i="1" s="1"/>
  <c r="AP298" i="1"/>
  <c r="M29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BE306" i="1" s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BE314" i="1" s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BE317" i="1" s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BE318" i="1" s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BE319" i="1" s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BE320" i="1" s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BE321" i="1" s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BE322" i="1" s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BE323" i="1" s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BE324" i="1" s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BE325" i="1" s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BE326" i="1" s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BE327" i="1" s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BE328" i="1" s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BE329" i="1" s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BE372" i="1" s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BE373" i="1" s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BE375" i="1" s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BE376" i="1" s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BE378" i="1" s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BE379" i="1" s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BE381" i="1" s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BE382" i="1" s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BE385" i="1" s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BE386" i="1" s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BE388" i="1" s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BE393" i="1" s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BE394" i="1" s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BE395" i="1" s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BE398" i="1" s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BE401" i="1" s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BE402" i="1" s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BE403" i="1" s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BE404" i="1" s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BE405" i="1" s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BE406" i="1" s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BE407" i="1" s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BE408" i="1" s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BE409" i="1" s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BE410" i="1" s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BE411" i="1" s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BE412" i="1" s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BE413" i="1" s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BE414" i="1" s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BE415" i="1" s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BE416" i="1" s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BE417" i="1" s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BE418" i="1" s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BE419" i="1" s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BE420" i="1" s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BE421" i="1" s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BE422" i="1" s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BE423" i="1" s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BE424" i="1" s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BE425" i="1" s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BE426" i="1" s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BE427" i="1" s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BE428" i="1" s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BE430" i="1" s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BE431" i="1" s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BE433" i="1" s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BE434" i="1" s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BE436" i="1" s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BE437" i="1" s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BE439" i="1" s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BE440" i="1" s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BE441" i="1" s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BE442" i="1" s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BE443" i="1" s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BE445" i="1" s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BE446" i="1" s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BE449" i="1" s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BE451" i="1" s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BE452" i="1" s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BE453" i="1" s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BE454" i="1" s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BE455" i="1" s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BE456" i="1" s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BE457" i="1" s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BE458" i="1" s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BE459" i="1" s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BE460" i="1" s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BE461" i="1" s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BE462" i="1" s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BE463" i="1" s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BE464" i="1" s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BE465" i="1" s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BE466" i="1" s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BE468" i="1" s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BE469" i="1" s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BE471" i="1" s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BE472" i="1" s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BE473" i="1" s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BE474" i="1" s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BE475" i="1" s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BE476" i="1" s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BE477" i="1" s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BE478" i="1" s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BE479" i="1" s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BE480" i="1" s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BE481" i="1" s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BE482" i="1" s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BE483" i="1" s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BE484" i="1" s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BE485" i="1" s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BE486" i="1" s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BE487" i="1" s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BE488" i="1" s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BE489" i="1" s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BE490" i="1" s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BE492" i="1" s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BE493" i="1" s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BE495" i="1" s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BE496" i="1" s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BE497" i="1" s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BE499" i="1" s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BE501" i="1" s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BE502" i="1" s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BE505" i="1" s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BE507" i="1" s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BE508" i="1" s="1"/>
  <c r="AP508" i="1"/>
  <c r="M507" i="11" s="1"/>
  <c r="AQ508" i="1"/>
  <c r="BC508" i="1" a="1"/>
  <c r="BC508" i="1" s="1"/>
  <c r="BF508" i="1"/>
  <c r="BR508" i="1"/>
  <c r="BQ508" i="1" s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BE509" i="1" s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BE511" i="1" s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BE513" i="1" s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BE514" i="1" s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BE516" i="1" s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BE517" i="1" s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BE519" i="1" s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BE520" i="1" s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BE523" i="1" s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BE524" i="1" s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BE525" i="1" s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BE526" i="1" s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BE528" i="1" s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BE529" i="1" s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BE531" i="1" s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BE532" i="1" s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BE534" i="1" s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BE535" i="1" s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BE536" i="1" s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BE537" i="1" s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BE540" i="1" s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BE543" i="1" s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BE546" i="1" s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BE547" i="1" s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BE548" i="1" s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BE549" i="1" s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BE551" i="1" s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BE552" i="1" s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BE554" i="1" s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BE555" i="1" s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BE557" i="1" s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BE558" i="1" s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BE561" i="1" s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BE562" i="1" s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BE563" i="1" s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BE564" i="1" s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BE566" i="1" s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BE567" i="1" s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BE569" i="1" s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BE570" i="1" s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BE575" i="1" s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BE576" i="1" s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BE578" i="1" s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BE580" i="1" s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BE583" i="1" s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BE584" i="1" s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BE585" i="1" s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BE586" i="1" s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BE587" i="1" s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BE588" i="1" s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BE590" i="1" s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BE591" i="1" s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BE593" i="1" s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BE594" i="1" s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BE596" i="1" s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BE597" i="1" s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BE599" i="1" s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BE600" i="1" s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BE602" i="1" s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BE603" i="1" s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BE605" i="1" s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BE606" i="1" s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BE608" i="1" s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BE609" i="1" s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BE611" i="1" s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BE612" i="1" s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BE614" i="1" s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BE615" i="1" s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BE617" i="1" s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BE618" i="1" s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BE620" i="1" s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BE621" i="1" s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BE623" i="1" s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BE624" i="1" s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BE627" i="1" s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BE629" i="1" s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BE630" i="1" s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BE633" i="1" s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BE636" i="1" s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BE639" i="1" s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BE641" i="1" s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BE642" i="1" s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BE645" i="1" s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BE648" i="1" s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BE650" i="1" s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BE652" i="1" s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BE654" i="1" s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BE657" i="1" s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BE658" i="1" s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BE659" i="1" s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BE660" i="1" s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BE663" i="1" s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BE666" i="1" s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BE669" i="1" s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BE670" i="1" s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BE672" i="1" s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BE675" i="1" s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BE677" i="1" s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BE678" i="1" s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BE680" i="1" s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BE681" i="1" s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BE684" i="1" s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BE686" i="1" s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BE687" i="1" s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BE690" i="1" s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BE692" i="1" s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BE693" i="1" s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BE695" i="1" s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BE696" i="1" s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BE697" i="1" s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BE698" i="1" s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BE699" i="1" s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BE704" i="1" s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BE706" i="1" s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BE707" i="1" s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BE708" i="1" s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BE709" i="1" s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BE711" i="1" s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BE713" i="1" s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BE714" i="1" s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BE716" i="1" s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BE717" i="1" s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BE719" i="1" s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BE720" i="1" s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BE721" i="1" s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BE722" i="1" s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BE723" i="1" s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BE724" i="1" s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BE725" i="1" s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BE726" i="1" s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BE731" i="1" s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BE733" i="1" s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BE734" i="1" s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BE735" i="1" s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BE737" i="1" s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BE738" i="1" s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BE740" i="1" s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BE741" i="1" s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BE743" i="1" s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BE744" i="1" s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BE747" i="1" s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BE749" i="1" s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BE750" i="1" s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BE752" i="1" s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BE753" i="1" s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BE755" i="1" s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BE756" i="1" s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BE758" i="1" s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BE759" i="1" s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BE760" i="1" s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BE761" i="1" s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BE762" i="1" s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BE765" i="1" s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BE768" i="1" s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BE770" i="1" s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BE771" i="1" s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BE772" i="1" s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BE774" i="1" s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BE777" i="1" s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BE779" i="1" s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BE780" i="1" s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BE783" i="1" s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BE786" i="1" s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BE788" i="1" s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BE789" i="1" s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BE791" i="1" s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BE792" i="1" s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BE795" i="1" s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BE796" i="1" s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BE797" i="1" s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BE798" i="1" s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BE801" i="1" s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16" i="1" l="1" a="1"/>
  <c r="BD116" i="1" s="1"/>
  <c r="BQ416" i="1"/>
  <c r="BQ507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649" i="1"/>
  <c r="BQ505" i="1"/>
  <c r="BQ499" i="1"/>
  <c r="BQ487" i="1"/>
  <c r="BQ481" i="1"/>
  <c r="BQ454" i="1"/>
  <c r="BQ263" i="1"/>
  <c r="BQ260" i="1"/>
  <c r="BQ254" i="1"/>
  <c r="BQ251" i="1"/>
  <c r="BQ248" i="1"/>
  <c r="BQ245" i="1"/>
  <c r="BQ242" i="1"/>
  <c r="BQ239" i="1"/>
  <c r="BQ236" i="1"/>
  <c r="BQ233" i="1"/>
  <c r="BQ230" i="1"/>
  <c r="K104" i="16"/>
  <c r="AM107" i="1"/>
  <c r="K101" i="16"/>
  <c r="AM104" i="1"/>
  <c r="K97" i="16"/>
  <c r="AM100" i="1"/>
  <c r="K95" i="16"/>
  <c r="AM98" i="1"/>
  <c r="K92" i="16"/>
  <c r="AM95" i="1"/>
  <c r="K105" i="16"/>
  <c r="AM108" i="1"/>
  <c r="K102" i="16"/>
  <c r="AM105" i="1"/>
  <c r="K99" i="16"/>
  <c r="AM102" i="1"/>
  <c r="K96" i="16"/>
  <c r="AM99" i="1"/>
  <c r="K94" i="16"/>
  <c r="AM97" i="1"/>
  <c r="K107" i="16"/>
  <c r="AM110" i="1"/>
  <c r="K103" i="16"/>
  <c r="AM106" i="1"/>
  <c r="K100" i="16"/>
  <c r="AM103" i="1"/>
  <c r="K98" i="16"/>
  <c r="AM101" i="1"/>
  <c r="K93" i="16"/>
  <c r="AM96" i="1"/>
  <c r="BD108" i="1" a="1"/>
  <c r="BD108" i="1" s="1"/>
  <c r="AN108" i="1"/>
  <c r="AN107" i="1"/>
  <c r="AN106" i="1"/>
  <c r="BD124" i="1" a="1"/>
  <c r="BD124" i="1" s="1"/>
  <c r="BD120" i="1" a="1"/>
  <c r="BD120" i="1" s="1"/>
  <c r="BD110" i="1" a="1"/>
  <c r="BD110" i="1" s="1"/>
  <c r="BD190" i="1" a="1"/>
  <c r="BD190" i="1" s="1"/>
  <c r="BD203" i="1" a="1"/>
  <c r="BD203" i="1" s="1"/>
  <c r="BD162" i="1" a="1"/>
  <c r="BD162" i="1" s="1"/>
  <c r="BD139" i="1" a="1"/>
  <c r="BD139" i="1" s="1"/>
  <c r="BQ778" i="1"/>
  <c r="BQ769" i="1"/>
  <c r="BQ751" i="1"/>
  <c r="BQ742" i="1"/>
  <c r="BQ688" i="1"/>
  <c r="BQ68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9" i="1"/>
  <c r="BQ415" i="1"/>
  <c r="BQ413" i="1"/>
  <c r="BQ409" i="1"/>
  <c r="BQ407" i="1"/>
  <c r="BQ400" i="1"/>
  <c r="BQ399" i="1"/>
  <c r="BQ393" i="1"/>
  <c r="BQ371" i="1"/>
  <c r="BQ345" i="1"/>
  <c r="BQ648" i="1"/>
  <c r="BQ647" i="1"/>
  <c r="BQ646" i="1"/>
  <c r="BQ643" i="1"/>
  <c r="BQ642" i="1"/>
  <c r="BQ641" i="1"/>
  <c r="BQ640" i="1"/>
  <c r="BQ618" i="1"/>
  <c r="BQ591" i="1"/>
  <c r="BQ535" i="1"/>
  <c r="BQ420" i="1"/>
  <c r="BQ419" i="1"/>
  <c r="U901" i="16"/>
  <c r="U41" i="16"/>
  <c r="U38" i="16"/>
  <c r="BQ802" i="1"/>
  <c r="BQ793" i="1"/>
  <c r="BQ590" i="1"/>
  <c r="BQ588" i="1"/>
  <c r="BQ585" i="1"/>
  <c r="BQ582" i="1"/>
  <c r="BQ573" i="1"/>
  <c r="BQ564" i="1"/>
  <c r="BQ541" i="1"/>
  <c r="BQ480" i="1"/>
  <c r="BQ478" i="1"/>
  <c r="BQ472" i="1"/>
  <c r="BQ460" i="1"/>
  <c r="BQ344" i="1"/>
  <c r="BQ341" i="1"/>
  <c r="BQ338" i="1"/>
  <c r="BQ329" i="1"/>
  <c r="BQ320" i="1"/>
  <c r="BQ766" i="1"/>
  <c r="BQ738" i="1"/>
  <c r="BQ737" i="1"/>
  <c r="BQ736" i="1"/>
  <c r="BQ732" i="1"/>
  <c r="BQ731" i="1"/>
  <c r="BQ730" i="1"/>
  <c r="BQ728" i="1"/>
  <c r="BQ727" i="1"/>
  <c r="BQ723" i="1"/>
  <c r="BQ722" i="1"/>
  <c r="BQ721" i="1"/>
  <c r="BQ711" i="1"/>
  <c r="BQ710" i="1"/>
  <c r="BQ709" i="1"/>
  <c r="BQ705" i="1"/>
  <c r="BQ704" i="1"/>
  <c r="BQ703" i="1"/>
  <c r="BQ676" i="1"/>
  <c r="BQ604" i="1"/>
  <c r="BQ595" i="1"/>
  <c r="BQ592" i="1"/>
  <c r="BQ534" i="1"/>
  <c r="BQ532" i="1"/>
  <c r="BQ526" i="1"/>
  <c r="BQ514" i="1"/>
  <c r="BQ452" i="1"/>
  <c r="BQ443" i="1"/>
  <c r="BQ434" i="1"/>
  <c r="BQ384" i="1"/>
  <c r="BQ383" i="1"/>
  <c r="BQ375" i="1"/>
  <c r="BQ374" i="1"/>
  <c r="BQ357" i="1"/>
  <c r="BQ356" i="1"/>
  <c r="BQ348" i="1"/>
  <c r="BD123" i="1" a="1"/>
  <c r="BD123" i="1" s="1"/>
  <c r="AN120" i="1"/>
  <c r="AM116" i="1"/>
  <c r="L115" i="11" s="1"/>
  <c r="AM113" i="1"/>
  <c r="AN109" i="1"/>
  <c r="BD122" i="1" a="1"/>
  <c r="BD122" i="1" s="1"/>
  <c r="BD119" i="1" a="1"/>
  <c r="BD119" i="1" s="1"/>
  <c r="BD125" i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L159" i="11" s="1"/>
  <c r="AM159" i="1"/>
  <c r="AM158" i="1"/>
  <c r="AM157" i="1"/>
  <c r="L156" i="11" s="1"/>
  <c r="AM156" i="1"/>
  <c r="AM155" i="1"/>
  <c r="AM154" i="1"/>
  <c r="L153" i="11" s="1"/>
  <c r="AM153" i="1"/>
  <c r="AM152" i="1"/>
  <c r="AM151" i="1"/>
  <c r="L150" i="11" s="1"/>
  <c r="AM150" i="1"/>
  <c r="AM149" i="1"/>
  <c r="AM148" i="1"/>
  <c r="L147" i="11" s="1"/>
  <c r="AM147" i="1"/>
  <c r="AM146" i="1"/>
  <c r="AM145" i="1"/>
  <c r="L144" i="11" s="1"/>
  <c r="AM144" i="1"/>
  <c r="AM143" i="1"/>
  <c r="AM142" i="1"/>
  <c r="L141" i="11" s="1"/>
  <c r="AM141" i="1"/>
  <c r="AM140" i="1"/>
  <c r="AM139" i="1"/>
  <c r="L138" i="11" s="1"/>
  <c r="AM138" i="1"/>
  <c r="AM137" i="1"/>
  <c r="AM136" i="1"/>
  <c r="L135" i="11" s="1"/>
  <c r="AM135" i="1"/>
  <c r="AM134" i="1"/>
  <c r="AM133" i="1"/>
  <c r="L132" i="11" s="1"/>
  <c r="AM132" i="1"/>
  <c r="AM131" i="1"/>
  <c r="AM130" i="1"/>
  <c r="L129" i="11" s="1"/>
  <c r="AM129" i="1"/>
  <c r="AM128" i="1"/>
  <c r="AM127" i="1"/>
  <c r="L126" i="11" s="1"/>
  <c r="AM126" i="1"/>
  <c r="AM125" i="1"/>
  <c r="AM124" i="1"/>
  <c r="L123" i="11" s="1"/>
  <c r="AM123" i="1"/>
  <c r="AM122" i="1"/>
  <c r="AM121" i="1"/>
  <c r="L120" i="11" s="1"/>
  <c r="AM120" i="1"/>
  <c r="AM119" i="1"/>
  <c r="AM118" i="1"/>
  <c r="L117" i="11" s="1"/>
  <c r="AM117" i="1"/>
  <c r="AM115" i="1"/>
  <c r="AM114" i="1"/>
  <c r="L113" i="11" s="1"/>
  <c r="AM112" i="1"/>
  <c r="AM111" i="1"/>
  <c r="AM109" i="1"/>
  <c r="L108" i="11" s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D798" i="1" a="1"/>
  <c r="BD798" i="1" s="1"/>
  <c r="BD797" i="1" a="1"/>
  <c r="BD797" i="1" s="1"/>
  <c r="BD796" i="1" a="1"/>
  <c r="BD796" i="1" s="1"/>
  <c r="BD795" i="1" a="1"/>
  <c r="BD795" i="1" s="1"/>
  <c r="BD792" i="1" a="1"/>
  <c r="BD792" i="1" s="1"/>
  <c r="BD791" i="1" a="1"/>
  <c r="BD791" i="1" s="1"/>
  <c r="BD789" i="1" a="1"/>
  <c r="BD789" i="1" s="1"/>
  <c r="BD788" i="1" a="1"/>
  <c r="BD788" i="1" s="1"/>
  <c r="BD786" i="1" a="1"/>
  <c r="BD786" i="1" s="1"/>
  <c r="BD783" i="1" a="1"/>
  <c r="BD783" i="1" s="1"/>
  <c r="BD780" i="1" a="1"/>
  <c r="BD780" i="1" s="1"/>
  <c r="BD779" i="1" a="1"/>
  <c r="BD779" i="1" s="1"/>
  <c r="BD777" i="1" a="1"/>
  <c r="BD777" i="1" s="1"/>
  <c r="BD774" i="1" a="1"/>
  <c r="BD774" i="1" s="1"/>
  <c r="BD772" i="1" a="1"/>
  <c r="BD772" i="1" s="1"/>
  <c r="BD771" i="1" a="1"/>
  <c r="BD771" i="1" s="1"/>
  <c r="BD770" i="1" a="1"/>
  <c r="BD770" i="1" s="1"/>
  <c r="BD768" i="1" a="1"/>
  <c r="BD768" i="1" s="1"/>
  <c r="BD765" i="1" a="1"/>
  <c r="BD765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6" i="1" a="1"/>
  <c r="BD756" i="1" s="1"/>
  <c r="BD755" i="1" a="1"/>
  <c r="BD755" i="1" s="1"/>
  <c r="BD753" i="1" a="1"/>
  <c r="BD753" i="1" s="1"/>
  <c r="BD752" i="1" a="1"/>
  <c r="BD752" i="1" s="1"/>
  <c r="BD750" i="1" a="1"/>
  <c r="BD750" i="1" s="1"/>
  <c r="BD749" i="1" a="1"/>
  <c r="BD749" i="1" s="1"/>
  <c r="BD747" i="1" a="1"/>
  <c r="BD747" i="1" s="1"/>
  <c r="BD744" i="1" a="1"/>
  <c r="BD744" i="1" s="1"/>
  <c r="BD743" i="1" a="1"/>
  <c r="BD743" i="1" s="1"/>
  <c r="BD741" i="1" a="1"/>
  <c r="BD741" i="1" s="1"/>
  <c r="BD740" i="1" a="1"/>
  <c r="BD740" i="1" s="1"/>
  <c r="BD738" i="1" a="1"/>
  <c r="BD738" i="1" s="1"/>
  <c r="BD735" i="1" a="1"/>
  <c r="BD735" i="1" s="1"/>
  <c r="BD734" i="1" a="1"/>
  <c r="BD734" i="1" s="1"/>
  <c r="BD733" i="1" a="1"/>
  <c r="BD733" i="1" s="1"/>
  <c r="BD731" i="1" a="1"/>
  <c r="BD731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9" i="1" a="1"/>
  <c r="BD709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7" i="1" a="1"/>
  <c r="BD687" i="1" s="1"/>
  <c r="BD686" i="1" a="1"/>
  <c r="BD686" i="1" s="1"/>
  <c r="BD684" i="1" a="1"/>
  <c r="BD684" i="1" s="1"/>
  <c r="BD681" i="1" a="1"/>
  <c r="BD681" i="1" s="1"/>
  <c r="BD680" i="1" a="1"/>
  <c r="BD680" i="1" s="1"/>
  <c r="BD678" i="1" a="1"/>
  <c r="BD678" i="1" s="1"/>
  <c r="BD677" i="1" a="1"/>
  <c r="BD677" i="1" s="1"/>
  <c r="BD675" i="1" a="1"/>
  <c r="BD675" i="1" s="1"/>
  <c r="BD672" i="1" a="1"/>
  <c r="BD672" i="1" s="1"/>
  <c r="BD670" i="1" a="1"/>
  <c r="BD670" i="1" s="1"/>
  <c r="BD669" i="1" a="1"/>
  <c r="BD669" i="1" s="1"/>
  <c r="BD666" i="1" a="1"/>
  <c r="BD666" i="1" s="1"/>
  <c r="BD663" i="1" a="1"/>
  <c r="BD663" i="1" s="1"/>
  <c r="BD660" i="1" a="1"/>
  <c r="BD660" i="1" s="1"/>
  <c r="BD659" i="1" a="1"/>
  <c r="BD659" i="1" s="1"/>
  <c r="BD658" i="1" a="1"/>
  <c r="BD658" i="1" s="1"/>
  <c r="BD657" i="1" a="1"/>
  <c r="BD657" i="1" s="1"/>
  <c r="BD654" i="1" a="1"/>
  <c r="BD654" i="1" s="1"/>
  <c r="BD652" i="1" a="1"/>
  <c r="BD652" i="1" s="1"/>
  <c r="BD650" i="1" a="1"/>
  <c r="BD650" i="1" s="1"/>
  <c r="BD648" i="1" a="1"/>
  <c r="BD648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7" i="1" a="1"/>
  <c r="BD627" i="1" s="1"/>
  <c r="BD624" i="1" a="1"/>
  <c r="BD624" i="1" s="1"/>
  <c r="BD623" i="1" a="1"/>
  <c r="BD623" i="1" s="1"/>
  <c r="BD621" i="1" a="1"/>
  <c r="BD621" i="1" s="1"/>
  <c r="BD620" i="1" a="1"/>
  <c r="BD620" i="1" s="1"/>
  <c r="BD618" i="1" a="1"/>
  <c r="BD618" i="1" s="1"/>
  <c r="BD617" i="1" a="1"/>
  <c r="BD617" i="1" s="1"/>
  <c r="BD615" i="1" a="1"/>
  <c r="BD615" i="1" s="1"/>
  <c r="BD614" i="1" a="1"/>
  <c r="BD614" i="1" s="1"/>
  <c r="BD612" i="1" a="1"/>
  <c r="BD612" i="1" s="1"/>
  <c r="BD611" i="1" a="1"/>
  <c r="BD611" i="1" s="1"/>
  <c r="BD609" i="1" a="1"/>
  <c r="BD609" i="1" s="1"/>
  <c r="BD608" i="1" a="1"/>
  <c r="BD608" i="1" s="1"/>
  <c r="BD606" i="1" a="1"/>
  <c r="BD606" i="1" s="1"/>
  <c r="BD605" i="1" a="1"/>
  <c r="BD605" i="1" s="1"/>
  <c r="BD603" i="1" a="1"/>
  <c r="BD603" i="1" s="1"/>
  <c r="BD602" i="1" a="1"/>
  <c r="BD602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5" i="1" a="1"/>
  <c r="BD575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7" i="1" a="1"/>
  <c r="BD547" i="1" s="1"/>
  <c r="BD546" i="1" a="1"/>
  <c r="BD546" i="1" s="1"/>
  <c r="BD543" i="1" a="1"/>
  <c r="BD543" i="1" s="1"/>
  <c r="BD540" i="1" a="1"/>
  <c r="BD540" i="1" s="1"/>
  <c r="BD537" i="1" a="1"/>
  <c r="BD537" i="1" s="1"/>
  <c r="BD536" i="1" a="1"/>
  <c r="BD536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09" i="1" a="1"/>
  <c r="BD509" i="1" s="1"/>
  <c r="BD508" i="1" a="1"/>
  <c r="BD508" i="1" s="1"/>
  <c r="BD507" i="1" a="1"/>
  <c r="BD507" i="1" s="1"/>
  <c r="BD505" i="1" a="1"/>
  <c r="BD505" i="1" s="1"/>
  <c r="BD502" i="1" a="1"/>
  <c r="BD502" i="1" s="1"/>
  <c r="BD501" i="1" a="1"/>
  <c r="BD501" i="1" s="1"/>
  <c r="BD499" i="1" a="1"/>
  <c r="BD499" i="1" s="1"/>
  <c r="BD497" i="1" a="1"/>
  <c r="BD497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7" i="1" a="1"/>
  <c r="BD437" i="1" s="1"/>
  <c r="BD436" i="1" a="1"/>
  <c r="BD436" i="1" s="1"/>
  <c r="BD434" i="1" a="1"/>
  <c r="BD434" i="1" s="1"/>
  <c r="BD433" i="1" a="1"/>
  <c r="BD433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8" i="1" a="1"/>
  <c r="BD398" i="1" s="1"/>
  <c r="BD395" i="1" a="1"/>
  <c r="BD395" i="1" s="1"/>
  <c r="BD394" i="1" a="1"/>
  <c r="BD394" i="1" s="1"/>
  <c r="BD393" i="1" a="1"/>
  <c r="BD393" i="1" s="1"/>
  <c r="BD388" i="1" a="1"/>
  <c r="BD388" i="1" s="1"/>
  <c r="BD386" i="1" a="1"/>
  <c r="BD386" i="1" s="1"/>
  <c r="BD385" i="1" a="1"/>
  <c r="BD385" i="1" s="1"/>
  <c r="BD382" i="1" a="1"/>
  <c r="BD382" i="1" s="1"/>
  <c r="BD381" i="1" a="1"/>
  <c r="BD381" i="1" s="1"/>
  <c r="BD379" i="1" a="1"/>
  <c r="BD379" i="1" s="1"/>
  <c r="BD378" i="1" a="1"/>
  <c r="BD378" i="1" s="1"/>
  <c r="BD376" i="1" a="1"/>
  <c r="BD376" i="1" s="1"/>
  <c r="BD375" i="1" a="1"/>
  <c r="BD375" i="1" s="1"/>
  <c r="BD373" i="1" a="1"/>
  <c r="BD373" i="1" s="1"/>
  <c r="BD372" i="1" a="1"/>
  <c r="BD372" i="1" s="1"/>
  <c r="BD370" i="1" a="1"/>
  <c r="BD370" i="1" s="1"/>
  <c r="BD369" i="1" a="1"/>
  <c r="BD369" i="1" s="1"/>
  <c r="BD367" i="1" a="1"/>
  <c r="BD367" i="1" s="1"/>
  <c r="BD366" i="1" a="1"/>
  <c r="BD366" i="1" s="1"/>
  <c r="BD364" i="1" a="1"/>
  <c r="BD364" i="1" s="1"/>
  <c r="BD363" i="1" a="1"/>
  <c r="BD363" i="1" s="1"/>
  <c r="BD361" i="1" a="1"/>
  <c r="BD361" i="1" s="1"/>
  <c r="BD360" i="1" a="1"/>
  <c r="BD360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4" i="1" a="1"/>
  <c r="BD314" i="1" s="1"/>
  <c r="BD311" i="1" a="1"/>
  <c r="BD311" i="1" s="1"/>
  <c r="BD309" i="1" a="1"/>
  <c r="BD309" i="1" s="1"/>
  <c r="BD308" i="1" a="1"/>
  <c r="BD308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5" i="1" a="1"/>
  <c r="BD265" i="1" s="1"/>
  <c r="BD263" i="1" a="1"/>
  <c r="BD263" i="1" s="1"/>
  <c r="BD262" i="1" a="1"/>
  <c r="BD262" i="1" s="1"/>
  <c r="BD261" i="1" a="1"/>
  <c r="BD261" i="1" s="1"/>
  <c r="BD259" i="1" a="1"/>
  <c r="BD259" i="1" s="1"/>
  <c r="BD256" i="1" a="1"/>
  <c r="BD256" i="1" s="1"/>
  <c r="BD255" i="1" a="1"/>
  <c r="BD255" i="1" s="1"/>
  <c r="BD252" i="1" a="1"/>
  <c r="BD252" i="1" s="1"/>
  <c r="BD250" i="1" a="1"/>
  <c r="BD250" i="1" s="1"/>
  <c r="BD249" i="1" a="1"/>
  <c r="BD249" i="1" s="1"/>
  <c r="BD247" i="1" a="1"/>
  <c r="BD247" i="1" s="1"/>
  <c r="BD246" i="1" a="1"/>
  <c r="BD246" i="1" s="1"/>
  <c r="BD244" i="1" a="1"/>
  <c r="BD244" i="1" s="1"/>
  <c r="BD243" i="1" a="1"/>
  <c r="BD243" i="1" s="1"/>
  <c r="BD241" i="1" a="1"/>
  <c r="BD241" i="1" s="1"/>
  <c r="BD240" i="1" a="1"/>
  <c r="BD240" i="1" s="1"/>
  <c r="BD238" i="1" a="1"/>
  <c r="BD238" i="1" s="1"/>
  <c r="BD237" i="1" a="1"/>
  <c r="BD237" i="1" s="1"/>
  <c r="BD235" i="1" a="1"/>
  <c r="BD235" i="1" s="1"/>
  <c r="BD234" i="1" a="1"/>
  <c r="BD234" i="1" s="1"/>
  <c r="BD232" i="1" a="1"/>
  <c r="BD232" i="1" s="1"/>
  <c r="BD231" i="1" a="1"/>
  <c r="BD231" i="1" s="1"/>
  <c r="BD229" i="1" a="1"/>
  <c r="BD229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0" i="1" a="1"/>
  <c r="BD210" i="1" s="1"/>
  <c r="BD161" i="1" a="1"/>
  <c r="BD161" i="1" s="1"/>
  <c r="BD160" i="1" a="1"/>
  <c r="BD160" i="1" s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<sst xmlns="http://schemas.openxmlformats.org/spreadsheetml/2006/main" count="4583" uniqueCount="1421">
  <si>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</si>
  <si>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</si>
  <si>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</si>
  <si>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</si>
  <si>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</si>
  <si>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</si>
  <si>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</si>
  <si>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</si>
  <si>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</si>
  <si>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</si>
  <si>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</si>
  <si>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</si>
  <si>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</si>
  <si>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</si>
  <si>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</si>
  <si>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</si>
  <si>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</si>
  <si>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</si>
  <si>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</si>
  <si>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</si>
  <si>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</si>
  <si>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</si>
  <si>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</si>
  <si>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</si>
  <si>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</si>
  <si>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</si>
  <si>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</si>
  <si>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</si>
  <si>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</si>
  <si>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</si>
  <si>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</si>
  <si>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</si>
  <si>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</si>
  <si>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</si>
  <si>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</si>
  <si>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</si>
  <si>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</si>
  <si>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</si>
  <si>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</si>
  <si>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</si>
  <si>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</si>
  <si>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</si>
  <si>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</si>
  <si>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</si>
  <si>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</si>
  <si>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</si>
  <si>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</si>
  <si>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</si>
  <si>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</si>
  <si>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</si>
  <si>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</si>
  <si>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</si>
  <si>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</si>
  <si>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</si>
  <si>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</si>
  <si>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</si>
  <si>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</si>
  <si>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</si>
  <si>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</si>
  <si>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</si>
  <si>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</si>
  <si>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</si>
  <si>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</si>
  <si>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</si>
  <si>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</si>
  <si>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</si>
  <si>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</si>
  <si>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</si>
  <si>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</si>
  <si>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</si>
  <si>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</si>
  <si>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</si>
  <si>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</si>
  <si>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</si>
  <si>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</si>
  <si>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</si>
  <si>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</si>
  <si>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</si>
  <si>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</si>
  <si>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</si>
  <si>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</si>
  <si>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</si>
  <si>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</si>
  <si>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</si>
  <si>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</si>
  <si>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</si>
  <si>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</si>
  <si>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</si>
  <si>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</si>
  <si>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</si>
  <si>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</si>
  <si>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</si>
  <si>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</si>
  <si>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</si>
  <si>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</si>
  <si>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</si>
  <si>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</si>
  <si>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</si>
  <si>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</si>
  <si>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</si>
  <si>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</si>
  <si>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</si>
  <si>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</si>
  <si>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</si>
  <si>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</si>
  <si>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</si>
  <si>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</si>
  <si>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</si>
  <si>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</si>
  <si>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</si>
  <si>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</si>
  <si>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</si>
  <si>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</si>
  <si>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</si>
  <si>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</si>
  <si>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</si>
  <si>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</si>
  <si>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</si>
  <si>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</si>
  <si>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</si>
  <si>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</si>
  <si>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</si>
  <si>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</si>
  <si>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</si>
  <si>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</si>
  <si>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</si>
  <si>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</si>
  <si>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</si>
  <si>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</si>
  <si>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</si>
  <si>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</si>
  <si>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</si>
  <si>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</si>
  <si>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</si>
  <si>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</si>
  <si>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</si>
  <si>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</si>
  <si>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</si>
  <si>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</si>
  <si>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</si>
  <si>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</si>
  <si>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</si>
  <si>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</si>
  <si>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</si>
  <si>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</si>
  <si>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</si>
  <si>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</si>
  <si>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</si>
  <si>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</si>
  <si>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</si>
  <si>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</si>
  <si>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</si>
  <si>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</si>
  <si>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</si>
  <si>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</si>
  <si>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</si>
  <si>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</si>
  <si>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</si>
  <si>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</si>
  <si>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</si>
  <si>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</si>
  <si>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</si>
  <si>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</si>
  <si>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</si>
  <si>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</si>
  <si>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</si>
  <si>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</si>
  <si>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</si>
  <si>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</si>
  <si>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</si>
  <si>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</si>
  <si>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</si>
  <si>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</si>
  <si>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</si>
  <si>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</si>
  <si>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</si>
  <si>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</si>
  <si>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</si>
  <si>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</si>
  <si>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</si>
  <si>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</si>
  <si>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</si>
  <si>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</si>
  <si>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</si>
  <si>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</si>
  <si>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</si>
  <si>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</si>
  <si>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</si>
  <si>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</si>
  <si>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</si>
  <si>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</si>
  <si>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</si>
  <si>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</si>
  <si>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</si>
  <si>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</si>
  <si>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</si>
  <si>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</si>
  <si>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</si>
  <si>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</si>
  <si>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</si>
  <si>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</si>
  <si>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</si>
  <si>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</si>
  <si>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</si>
  <si>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</si>
  <si>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</si>
  <si>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</si>
  <si>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</si>
  <si>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</si>
  <si>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</si>
  <si>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</si>
  <si>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</si>
  <si>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</si>
  <si>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</si>
  <si>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</si>
  <si>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</si>
  <si>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</si>
  <si>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</si>
  <si>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</si>
  <si>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</si>
  <si>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</si>
  <si>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</si>
  <si>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</si>
  <si>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</si>
  <si>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</si>
  <si>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</si>
  <si>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</si>
  <si>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</si>
  <si>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</si>
  <si>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</si>
  <si>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</si>
  <si>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</si>
  <si>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</si>
  <si>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</si>
  <si>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</si>
  <si>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</si>
  <si>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</si>
  <si>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</si>
  <si>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</si>
  <si>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</si>
  <si>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</si>
  <si>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</si>
  <si>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</si>
  <si>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</si>
  <si>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</si>
  <si>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</si>
  <si>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</si>
  <si>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</si>
  <si>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</si>
  <si>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</si>
  <si>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</si>
  <si>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</si>
  <si>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</si>
  <si>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</si>
  <si>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</si>
  <si>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</si>
  <si>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</si>
  <si>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</si>
  <si>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</si>
  <si>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</si>
  <si>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</si>
  <si>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</si>
  <si>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</si>
  <si>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</si>
  <si>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</si>
  <si>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</si>
  <si>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</si>
  <si>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</si>
  <si>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</si>
  <si>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</si>
  <si>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</si>
  <si>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</si>
  <si>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</si>
  <si>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</si>
  <si>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</si>
  <si>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</si>
  <si>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</si>
  <si>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</si>
  <si>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</si>
  <si>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</si>
  <si>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</si>
  <si>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</si>
  <si>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</si>
  <si>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</si>
  <si>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</si>
  <si>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</si>
  <si>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</si>
  <si>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</si>
  <si>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</si>
  <si>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</si>
  <si>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</si>
  <si>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</si>
  <si>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</si>
  <si>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</si>
  <si>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</si>
  <si>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</si>
  <si>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</si>
  <si>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</si>
  <si>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</si>
  <si>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</si>
  <si>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</si>
  <si>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</si>
  <si>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</si>
  <si>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</si>
  <si>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</si>
  <si>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</si>
  <si>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</si>
  <si>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</si>
  <si>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</si>
  <si>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</si>
  <si>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</si>
  <si>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</si>
  <si>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</si>
  <si>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</si>
  <si>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</si>
  <si>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</si>
  <si>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</si>
  <si>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</si>
  <si>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</si>
  <si>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</si>
  <si>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</si>
  <si>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</si>
  <si>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</si>
  <si>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</si>
  <si>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</si>
  <si>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</si>
  <si>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</si>
  <si>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</si>
  <si>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</si>
  <si>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</si>
  <si>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</si>
  <si>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</si>
  <si>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</si>
  <si>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</si>
  <si>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</si>
  <si>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</si>
  <si>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</si>
  <si>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</si>
  <si>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</si>
  <si>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</si>
  <si>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</si>
  <si>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</si>
  <si>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</si>
  <si>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</si>
  <si>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</si>
  <si>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</si>
  <si>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</si>
  <si>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</si>
  <si>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</si>
  <si>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</si>
  <si>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</si>
  <si>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</si>
  <si>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</si>
  <si>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</si>
  <si>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</si>
  <si>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</si>
  <si>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</si>
  <si>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</si>
  <si>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</si>
  <si>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</si>
  <si>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</si>
  <si>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</si>
  <si>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</si>
  <si>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</si>
  <si>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</si>
  <si>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</si>
  <si>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</si>
  <si>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</si>
  <si>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</si>
  <si>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</si>
  <si>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</si>
  <si>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</si>
  <si>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</si>
  <si>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</si>
  <si>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</si>
  <si>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</si>
  <si>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</si>
  <si>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</si>
  <si>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</si>
  <si>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</si>
  <si>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</si>
  <si>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</si>
  <si>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</si>
  <si>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</si>
  <si>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</si>
  <si>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</si>
  <si>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</si>
  <si>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</si>
  <si>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</si>
  <si>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</si>
  <si>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</si>
  <si>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</si>
  <si>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</si>
  <si>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</si>
  <si>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</si>
  <si>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</si>
  <si>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</si>
  <si>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</si>
  <si>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</si>
  <si>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</si>
  <si>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</si>
  <si>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</si>
  <si>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</si>
  <si>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</si>
  <si>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</si>
  <si>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</si>
  <si>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</si>
  <si>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</si>
  <si>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</si>
  <si>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</si>
  <si>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</si>
  <si>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</si>
  <si>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</si>
  <si>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</si>
  <si>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</si>
  <si>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</si>
  <si>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</si>
  <si>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</si>
  <si>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</si>
  <si>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</si>
  <si>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</si>
  <si>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</si>
  <si>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</si>
  <si>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</si>
  <si>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</si>
  <si>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</si>
  <si>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</si>
  <si>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</si>
  <si>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</si>
  <si>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</si>
  <si>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</si>
  <si>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</si>
  <si>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</si>
  <si>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</si>
  <si>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</si>
  <si>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</si>
  <si>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</si>
  <si>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</si>
  <si>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</si>
  <si>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</si>
  <si>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</si>
  <si>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</si>
  <si>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</si>
  <si>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</si>
  <si>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</si>
  <si>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</si>
  <si>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</si>
  <si>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</si>
  <si>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</si>
  <si>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</si>
  <si>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</si>
  <si>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</si>
  <si>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</si>
  <si>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</si>
  <si>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</si>
  <si>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</si>
  <si>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</si>
  <si>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</si>
  <si>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</si>
  <si>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</si>
  <si>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</si>
  <si>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</si>
  <si>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</si>
  <si>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</si>
  <si>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</si>
  <si>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</si>
  <si>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</si>
  <si>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</si>
  <si>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</si>
  <si>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</si>
  <si>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</si>
  <si>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</si>
  <si>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</si>
  <si>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</si>
  <si>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</si>
  <si>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</si>
  <si>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</si>
  <si>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</si>
  <si>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</si>
  <si>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</si>
  <si>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</si>
  <si>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</si>
  <si>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</si>
  <si>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</si>
  <si>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</si>
  <si>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</si>
  <si>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</si>
  <si>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</si>
  <si>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</si>
  <si>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</si>
  <si>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</si>
  <si>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</si>
  <si>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</si>
  <si>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</si>
  <si>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</si>
  <si>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</si>
  <si>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</si>
  <si>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</si>
  <si>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</si>
  <si>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</si>
  <si>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</si>
  <si>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</si>
  <si>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</si>
  <si>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</si>
  <si>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</si>
  <si>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</si>
  <si>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</si>
  <si>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</si>
  <si>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</si>
  <si>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</si>
  <si>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</si>
  <si>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</si>
  <si>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</si>
  <si>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</si>
  <si>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</si>
  <si>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</si>
  <si>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</si>
  <si>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</si>
  <si>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</si>
  <si>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</si>
  <si>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</si>
  <si>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</si>
  <si>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</si>
  <si>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</si>
  <si>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</si>
  <si>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</si>
  <si>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</si>
  <si>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</si>
  <si>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</si>
  <si>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</si>
  <si>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</si>
  <si>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</si>
  <si>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</si>
  <si>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</si>
  <si>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</si>
  <si>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</si>
  <si>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</si>
  <si>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</si>
  <si>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</si>
  <si>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</si>
  <si>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</si>
  <si>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</si>
  <si>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</si>
  <si>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</si>
  <si>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</si>
  <si>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</si>
  <si>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</si>
  <si>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</si>
  <si>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</si>
  <si>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</si>
  <si>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</si>
  <si>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</si>
  <si>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</si>
  <si>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</si>
  <si>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</si>
  <si>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</si>
  <si>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</si>
  <si>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</si>
  <si>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</si>
  <si>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</si>
  <si>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</si>
  <si>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</si>
  <si>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</si>
  <si>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</si>
  <si>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</si>
  <si>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</si>
  <si>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</si>
  <si>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</si>
  <si>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</si>
  <si>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</si>
  <si>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</si>
  <si>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</si>
  <si>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</si>
  <si>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</si>
  <si>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</si>
  <si>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</si>
  <si>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</si>
  <si>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</si>
  <si>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</si>
  <si>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</si>
  <si>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</si>
  <si>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</si>
  <si>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</si>
  <si>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</si>
  <si>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</si>
  <si>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</si>
  <si>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</si>
  <si>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</si>
  <si>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</si>
  <si>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</si>
  <si>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</si>
  <si>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</si>
  <si>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</si>
  <si>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</si>
  <si>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</si>
  <si>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</si>
  <si>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</si>
  <si>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</si>
  <si>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</si>
  <si>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</si>
  <si>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</si>
  <si>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</si>
  <si>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</si>
  <si>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</si>
  <si>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</si>
  <si>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</si>
  <si>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</si>
  <si>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</si>
  <si>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</si>
  <si>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</si>
  <si>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</si>
  <si>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</si>
  <si>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</si>
  <si>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</si>
  <si>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</si>
  <si>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</si>
  <si>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</si>
  <si>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</si>
  <si>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</si>
  <si>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</si>
  <si>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</si>
  <si>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</si>
  <si>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</si>
  <si>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</si>
  <si>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</si>
  <si>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</si>
  <si>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</si>
  <si>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</si>
  <si>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</si>
  <si>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</si>
  <si>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</si>
  <si>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</si>
  <si>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</si>
  <si>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</si>
  <si>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</si>
  <si>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</si>
  <si>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</si>
  <si>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</si>
  <si>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</si>
  <si>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</si>
  <si>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</si>
  <si>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</si>
  <si>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</si>
  <si>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</si>
  <si>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</si>
  <si>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</si>
  <si>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</si>
  <si>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</si>
  <si>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</si>
  <si>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</si>
  <si>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</si>
  <si>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</si>
  <si>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</si>
  <si>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</si>
  <si>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</si>
  <si>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</si>
  <si>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</si>
  <si>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</si>
  <si>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</si>
  <si>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</si>
  <si>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</si>
  <si>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</si>
  <si>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</si>
  <si>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</si>
  <si>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</si>
  <si>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</si>
  <si>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</si>
  <si>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</si>
  <si>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</si>
  <si>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</si>
  <si>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</si>
  <si>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</si>
  <si>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</si>
  <si>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</si>
  <si>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</si>
  <si>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</si>
  <si>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</si>
  <si>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</si>
  <si>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</si>
  <si>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</si>
  <si>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</si>
  <si>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</si>
  <si>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</si>
  <si>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</si>
  <si>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</si>
  <si>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</si>
  <si>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</si>
  <si>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</si>
  <si>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</si>
  <si>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</si>
  <si>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</si>
  <si>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</si>
  <si>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</si>
  <si>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</si>
  <si>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</si>
  <si>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</si>
  <si>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</si>
  <si>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</si>
  <si>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</si>
  <si>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</si>
  <si>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</si>
  <si>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</si>
  <si>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</si>
  <si>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</si>
  <si>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</si>
  <si>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</si>
  <si>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</si>
  <si>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</si>
  <si>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</si>
  <si>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</si>
  <si>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</si>
  <si>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</si>
  <si>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</si>
  <si>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</si>
  <si>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</si>
  <si>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</si>
  <si>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</si>
  <si>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</si>
  <si>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</si>
  <si>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</si>
  <si>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</si>
  <si>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</si>
  <si>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</si>
  <si>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</si>
  <si>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</si>
  <si>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</si>
  <si>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</si>
  <si>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</si>
  <si>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</si>
  <si>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</si>
  <si>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</si>
  <si>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</si>
  <si>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</si>
  <si>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</si>
  <si>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</si>
  <si>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</si>
  <si>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</si>
  <si>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</si>
  <si>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</si>
  <si>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</si>
  <si>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</si>
  <si>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</si>
  <si>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</si>
  <si>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</si>
  <si>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</si>
  <si>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</si>
  <si>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</si>
  <si>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</si>
  <si>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</si>
  <si>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</si>
  <si>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</si>
  <si>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</si>
  <si>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</si>
  <si>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</si>
  <si>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</si>
  <si>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</si>
  <si>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</si>
  <si>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</si>
  <si>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</si>
  <si>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</si>
  <si>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</si>
  <si>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</si>
  <si>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</si>
  <si>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</si>
  <si>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</si>
  <si>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</si>
  <si>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</si>
  <si>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</si>
  <si>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</si>
  <si>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</si>
  <si>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</si>
  <si>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</si>
  <si>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</si>
  <si>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</si>
  <si>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</si>
  <si>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</si>
  <si>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</si>
  <si>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</si>
  <si>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</si>
  <si>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</si>
  <si>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</si>
  <si>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</si>
  <si>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</si>
  <si>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</si>
  <si>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</si>
  <si>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</si>
  <si>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</si>
  <si>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</si>
  <si>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</si>
  <si>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</si>
  <si>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</si>
  <si>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</si>
  <si>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</si>
  <si>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</si>
  <si>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</si>
  <si>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</si>
  <si>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</si>
  <si>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</si>
  <si>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</si>
  <si>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</si>
  <si>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</si>
  <si>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</si>
  <si>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</si>
  <si>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</si>
  <si>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</si>
  <si>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</si>
  <si>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</si>
  <si>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</si>
  <si>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</si>
  <si>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</si>
  <si>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</si>
  <si>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</si>
  <si>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</si>
  <si>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</si>
  <si>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</si>
  <si>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</si>
  <si>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</si>
  <si>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</si>
  <si>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</si>
  <si>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</si>
  <si>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</si>
  <si>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</si>
  <si>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</si>
  <si>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</si>
  <si>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</si>
  <si>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</si>
  <si>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</si>
  <si>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</si>
  <si>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</si>
  <si>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</si>
  <si>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</si>
  <si>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</si>
  <si>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</si>
  <si>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</si>
  <si>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</si>
  <si>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</si>
  <si>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</si>
  <si>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</si>
  <si>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</si>
  <si>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</si>
  <si>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</si>
  <si>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</si>
  <si>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</si>
  <si>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</si>
  <si>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</si>
  <si>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</si>
  <si>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</si>
  <si>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</si>
  <si>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</si>
  <si>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</si>
  <si>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</si>
  <si>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</si>
  <si>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</si>
  <si>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</si>
  <si>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</si>
  <si>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</si>
  <si>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</si>
  <si>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</si>
  <si>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</si>
  <si>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</si>
  <si>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</si>
  <si>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</si>
  <si>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</si>
  <si>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</si>
  <si>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</si>
  <si>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</si>
  <si>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</si>
  <si>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</si>
  <si>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</si>
  <si>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</si>
  <si>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</si>
  <si>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</si>
  <si>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</si>
  <si>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</si>
  <si>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</si>
  <si>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</si>
  <si>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</si>
  <si>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</si>
  <si>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</si>
  <si>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</si>
  <si>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</si>
  <si>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</si>
  <si>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</si>
  <si>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</si>
  <si>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</si>
  <si>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</si>
  <si>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</si>
  <si>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</si>
  <si>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</si>
  <si>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</si>
  <si>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</si>
  <si>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</si>
  <si>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</si>
  <si>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</si>
  <si>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</si>
  <si>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</si>
  <si>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</si>
  <si>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</si>
  <si>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</si>
  <si>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</si>
  <si>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</si>
  <si>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</si>
  <si>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</si>
  <si>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</si>
  <si>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</si>
  <si>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</si>
  <si>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</si>
  <si>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</si>
  <si>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</si>
  <si>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</si>
  <si>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</si>
  <si>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</si>
  <si>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</si>
  <si>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</si>
  <si>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</si>
  <si>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</si>
  <si>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</si>
  <si>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</si>
  <si>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</si>
  <si>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</si>
  <si>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</si>
  <si>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</si>
  <si>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</si>
  <si>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</si>
  <si>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</si>
  <si>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</si>
  <si>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</si>
  <si>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</si>
  <si>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</si>
  <si>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</si>
  <si>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</si>
  <si>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</si>
  <si>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</si>
  <si>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</si>
  <si>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</si>
  <si>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</si>
  <si>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</si>
  <si>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</si>
  <si>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</si>
  <si>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</si>
  <si>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</si>
  <si>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</si>
  <si>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</si>
  <si>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</si>
  <si>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</si>
  <si>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</si>
  <si>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</si>
  <si>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</si>
  <si>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</si>
  <si>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</si>
  <si>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</si>
  <si>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</si>
  <si>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</si>
  <si>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</si>
  <si>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</si>
  <si>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</si>
  <si>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</si>
  <si>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</si>
  <si>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</si>
  <si>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</si>
  <si>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</si>
  <si>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</si>
  <si>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</si>
  <si>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</si>
  <si>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</si>
  <si>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</si>
  <si>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</si>
  <si>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</si>
  <si>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</si>
  <si>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</si>
  <si>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</si>
  <si>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</si>
  <si>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</si>
  <si>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</si>
  <si>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</si>
  <si>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</si>
  <si>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</si>
  <si>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</si>
  <si>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</si>
  <si>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</si>
  <si>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</si>
  <si>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</si>
  <si>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</si>
  <si>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</si>
  <si>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</si>
  <si>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</si>
  <si>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</si>
  <si>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</si>
  <si>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</si>
  <si>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</si>
  <si>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</si>
  <si>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</si>
  <si>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</si>
  <si>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</si>
  <si>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</si>
  <si>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</si>
  <si>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</si>
  <si>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</si>
  <si>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</si>
  <si>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</si>
  <si>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</si>
  <si>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</si>
  <si>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</si>
  <si>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</si>
  <si>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</si>
  <si>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</si>
  <si>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</si>
  <si>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</si>
  <si>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</si>
  <si>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</si>
  <si>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</si>
  <si>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</si>
  <si>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</si>
  <si>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</si>
  <si>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</si>
  <si>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</si>
  <si>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</si>
  <si>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</si>
  <si>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</si>
  <si>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</si>
  <si>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</si>
  <si>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</si>
  <si>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</si>
  <si>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</si>
  <si>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</si>
  <si>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</si>
  <si>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</si>
  <si>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</si>
  <si>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</si>
  <si>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</si>
  <si>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</si>
  <si>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</si>
  <si>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</si>
  <si>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</si>
  <si>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</si>
  <si>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</si>
  <si>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</si>
  <si>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</si>
  <si>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</si>
  <si>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</si>
  <si>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</si>
  <si>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</si>
  <si>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</si>
  <si>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</si>
  <si>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</si>
  <si>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</si>
  <si>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</si>
  <si>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</si>
  <si>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</si>
  <si>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</si>
  <si>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</si>
  <si>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</si>
  <si>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</si>
  <si>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</si>
  <si>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</si>
  <si>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</si>
  <si>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</si>
  <si>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</si>
  <si>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</si>
  <si>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</si>
  <si>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</si>
  <si>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</si>
  <si>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</si>
  <si>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</si>
  <si>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</si>
  <si>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</si>
  <si>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</si>
  <si>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</si>
  <si>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</si>
  <si>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</si>
  <si>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</si>
  <si>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</si>
  <si>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</si>
  <si>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</si>
  <si>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</si>
  <si>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</si>
  <si>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</si>
  <si>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</si>
  <si>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</si>
  <si>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</si>
  <si>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</si>
  <si>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</si>
  <si>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</si>
  <si>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</si>
  <si>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</si>
  <si>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</si>
  <si>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</si>
  <si>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</si>
  <si>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</si>
  <si>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</si>
  <si>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</si>
  <si>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</si>
  <si>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</si>
  <si>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</si>
  <si>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</si>
  <si>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</si>
  <si>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</si>
  <si>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</si>
  <si>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</si>
  <si>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</si>
  <si>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</si>
  <si>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</si>
  <si>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</si>
  <si>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</si>
  <si>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</si>
  <si>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</si>
  <si>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</si>
  <si>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</si>
  <si>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</si>
  <si>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</si>
  <si>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</si>
  <si>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</si>
  <si>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</si>
  <si>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</si>
  <si>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</si>
  <si>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</si>
  <si>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</si>
  <si>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</si>
  <si>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</si>
  <si>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</si>
  <si>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</si>
  <si>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</si>
  <si>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</si>
  <si>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</si>
  <si>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</si>
  <si>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</si>
  <si>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</si>
  <si>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</si>
  <si>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</si>
  <si>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</si>
  <si>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</si>
  <si>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</si>
  <si>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</si>
  <si>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</si>
  <si>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</si>
  <si>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</si>
  <si>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</si>
  <si>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</si>
  <si>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</si>
  <si>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</si>
  <si>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</si>
  <si>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</si>
  <si>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</si>
  <si>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</si>
  <si>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</si>
  <si>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</si>
  <si>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</si>
  <si>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</si>
  <si>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</si>
  <si>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</si>
  <si>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</si>
  <si>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</si>
  <si>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</si>
  <si>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</si>
  <si>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</si>
  <si>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</si>
  <si>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</si>
  <si>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</si>
  <si>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</si>
  <si>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</si>
  <si>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</si>
  <si>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</si>
  <si>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</si>
  <si>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</si>
  <si>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</si>
  <si>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</si>
  <si>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</si>
  <si>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</si>
  <si>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</si>
  <si>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</si>
  <si>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</si>
  <si>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</si>
  <si>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</si>
  <si>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</si>
  <si>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</si>
  <si>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</si>
  <si>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</si>
  <si>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</si>
  <si>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</si>
  <si>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</si>
  <si>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</si>
  <si>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</si>
  <si>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</si>
  <si>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</si>
  <si>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</si>
  <si>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</si>
  <si>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</si>
  <si>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</si>
  <si>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</si>
  <si>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</si>
  <si>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</si>
  <si>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</si>
  <si>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</si>
  <si>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</si>
  <si>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</si>
  <si>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</si>
  <si>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</si>
  <si>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</si>
  <si>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</si>
  <si>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</si>
  <si>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</si>
  <si>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</si>
  <si>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</si>
  <si>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</si>
  <si>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</si>
  <si>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</si>
  <si>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</si>
  <si>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</si>
  <si>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</si>
  <si>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</si>
  <si>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</si>
  <si>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</si>
  <si>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</si>
  <si>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</si>
  <si>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</si>
  <si>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</si>
  <si>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</si>
  <si>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</si>
  <si>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</si>
  <si>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</si>
  <si>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</si>
  <si>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</si>
  <si>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</si>
  <si>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</si>
  <si>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</si>
  <si>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</si>
  <si>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</si>
  <si>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</si>
  <si>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</si>
  <si>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</si>
  <si>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</si>
  <si>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</si>
  <si>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</si>
  <si>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</si>
  <si>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</si>
  <si>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</si>
  <si>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</si>
  <si>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</si>
  <si>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</si>
  <si>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</si>
  <si>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</si>
  <si>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</si>
  <si>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</si>
  <si>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</si>
  <si>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</si>
  <si>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</si>
  <si>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</si>
  <si>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</si>
  <si>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</si>
  <si>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</si>
  <si>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</si>
  <si>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</si>
  <si>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</si>
  <si>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</si>
  <si>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</si>
  <si>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</si>
  <si>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</si>
  <si>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</si>
  <si>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</si>
  <si>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</si>
  <si>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</si>
  <si>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</si>
  <si>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</si>
  <si>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</si>
  <si>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</si>
  <si>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</si>
  <si>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</si>
  <si>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</si>
  <si>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</si>
  <si>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</si>
  <si>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</si>
  <si>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</si>
  <si>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</si>
  <si>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</si>
  <si>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</si>
  <si>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</si>
  <si>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</si>
  <si>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</si>
  <si>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</si>
  <si>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</si>
  <si>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</si>
  <si>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</si>
  <si>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</si>
  <si>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</si>
  <si>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</si>
  <si>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</si>
  <si>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</si>
  <si>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</si>
  <si>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</si>
  <si>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</si>
  <si>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</si>
  <si>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</si>
  <si>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</si>
  <si>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</si>
  <si>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</si>
  <si>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</si>
  <si>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</si>
  <si>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</si>
  <si>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</si>
  <si>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</si>
  <si>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</si>
  <si>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</si>
  <si>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</si>
  <si>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</si>
  <si>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</si>
  <si>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</si>
  <si>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</si>
  <si>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</si>
  <si>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</si>
  <si>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</si>
  <si>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</si>
  <si>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</si>
  <si>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</si>
  <si>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</si>
  <si>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</si>
  <si>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</si>
  <si>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</si>
  <si>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</si>
  <si>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</si>
  <si>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</si>
  <si>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</si>
  <si>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</si>
  <si>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</si>
  <si>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</si>
  <si>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</si>
  <si>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</si>
  <si>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</si>
  <si>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</si>
  <si>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</si>
  <si>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</si>
  <si>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</si>
  <si>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</si>
  <si>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</si>
  <si>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</si>
  <si>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</si>
  <si>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</si>
  <si>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</si>
  <si>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</si>
  <si>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</si>
  <si>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</si>
  <si>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</si>
  <si>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</si>
  <si>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</si>
  <si>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</si>
  <si>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</si>
  <si>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</si>
  <si>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 xml:space="preserve">MC1 as 09:59h - </t>
  </si>
  <si>
    <t>Pronto as 07:50h - verificar oportunidade após C71</t>
  </si>
  <si>
    <t>TGR-TIN</t>
  </si>
  <si>
    <t>TGRTIN</t>
  </si>
  <si>
    <t>Aguardando atendimento da mecânica na loco 9414</t>
  </si>
  <si>
    <t>Pronto as 08:09h Aguardando melhorar clima no local</t>
  </si>
  <si>
    <t>Pronto as 08:04h Aguardando melhorar clima no local</t>
  </si>
  <si>
    <t>Augusto/ Efraim</t>
  </si>
  <si>
    <t>2 (Eder e Maicon)</t>
  </si>
  <si>
    <t>MC1 as 07:49h - Licença as 08:23h</t>
  </si>
  <si>
    <t>TMI</t>
  </si>
  <si>
    <t>TMITCS</t>
  </si>
  <si>
    <t>Ronda 7 dias</t>
  </si>
  <si>
    <t>MC1 as 09:16 - Licença as 09:17h - em inspeção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</si>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</sst>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BG1" activePane="topRight" state="frozen"/>
      <selection pane="topRight" activeCell="BJ38" sqref="BJ3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160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72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IF(D29="","*",IFERROR(IF(ISODD(COUNT(AS29:AX31)),"ERRO",SUM((AT29-AS29),(AV29-AU29),(AX29-AW29))),"ERRO"))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9:BQ72" si="3">IF(AND(BR29&lt;1,BS29&lt;1),"Produção e Intervalo",IF(BR29&lt;1,"Intervalo",IF(BS29&lt;1,"Produção","Aderente")))</f>
        <v>Aderente</v>
      </c>
      <c r="BR29" s="15" t="str">
        <f t="shared" ref="BR9:BR72" si="4">IF(OR(B29="",F29=""),"*",AY29/P29)</f>
        <v>*</v>
      </c>
      <c r="BS29" s="15" t="str">
        <f t="shared" ref="BS9:BS72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IF(D30="","*",IFERROR(IF(ISODD(COUNT(AS30:AX32)),"ERRO",SUM((AT30-AS30),(AV30-AU30),(AX30-AW30))),"ERRO"))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BASE_MAPA!$B$2:$B$420, BASE_MAPA!$G$2:$G$420),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IF(D31="","*",IFERROR(IF(ISODD(COUNT(AS31:AX33)),"ERRO",SUM((AT31-AS31),(AV31-AU31),(AX31-AW31))),"ERRO"))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BASE_MAPA!$B$2:$B$420, BASE_MAPA!$G$2:$G$420),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>
      <c r="A32" s="44" t="str">
        <f t="shared" si="1"/>
        <v>W7046057</v>
      </c>
      <c r="B32" s="133">
        <v>46057</v>
      </c>
      <c r="C32" s="7">
        <f>IF(BS_CONTROLE[[#This Row],[DATA]]="","",WEEKNUM(BS_CONTROLE[[#This Row],[DATA]]))</f>
        <v>6</v>
      </c>
      <c r="D32" s="45" t="s">
        <v>249</v>
      </c>
      <c r="E32" s="185">
        <v>25</v>
      </c>
      <c r="F32" s="134" t="s">
        <v>186</v>
      </c>
      <c r="G32" s="8" t="str">
        <f>IF(D32="","*",VLOOKUP(F32,BS_ATIVIDADE[#All],3,FALSE))</f>
        <v>PEDRA</v>
      </c>
      <c r="H32" s="135" t="s">
        <v>618</v>
      </c>
      <c r="I32" s="135" t="s">
        <v>573</v>
      </c>
      <c r="J32" s="151">
        <v>98</v>
      </c>
      <c r="K32" s="151">
        <v>700</v>
      </c>
      <c r="L32" s="71">
        <v>703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2" s="149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2" s="135">
        <v>0.41666666666666669</v>
      </c>
      <c r="P32" s="135">
        <v>0.125</v>
      </c>
      <c r="Q32" s="71">
        <v>27</v>
      </c>
      <c r="R32" s="9" t="str">
        <f>IFERROR(_xlfn.XLOOKUP(F32, BS_ATIVIDADE[ATIVIDADE],BS_ATIVIDADE[UNIDADE] ), "*")</f>
        <v>VAGÕES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BASE_MAPA!$B$2:$B$420, BASE_MAPA!$G$2:$G$420), "ERRO")</f>
        <v>ALTO ARAGUAIA - RONDONOPOLIS</v>
      </c>
      <c r="V32" s="143" t="s">
        <v>1302</v>
      </c>
      <c r="W32" s="135" t="s">
        <v>1303</v>
      </c>
      <c r="X32" s="152" t="s">
        <v>1004</v>
      </c>
      <c r="Y32" s="129" t="s">
        <v>1007</v>
      </c>
      <c r="Z32" s="129"/>
      <c r="AA32" s="71" t="s">
        <v>1345</v>
      </c>
      <c r="AB32" s="59" t="s">
        <v>996</v>
      </c>
      <c r="AC32" s="59"/>
      <c r="AD32" s="135">
        <v>0.29166666666666669</v>
      </c>
      <c r="AE32" s="71">
        <v>9425</v>
      </c>
      <c r="AF32" s="71">
        <v>7632</v>
      </c>
      <c r="AG32" s="71">
        <v>9414</v>
      </c>
      <c r="AH32" s="42"/>
      <c r="AI32" s="119" t="str">
        <f>IF(BS_CONTROLE[[#This Row],[Atividade]]=0, "-", BS_CONTROLE[[#This Row],[Atividade]])</f>
        <v>PDM - PEDRA - DESCARGA</v>
      </c>
      <c r="AJ32" s="8" t="str">
        <f>IF(D32="","*",VLOOKUP(AI32,BS_ATIVIDADE[#Data],3,FALSE))</f>
        <v>PEDRA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TGR2</v>
      </c>
      <c r="AM32" s="175" t="str">
        <f>IF(BS_CONTROLE[[#This Row],[Entre - Estações]]=0, "-", BS_CONTROLE[[#This Row],[Entre - Estações]])</f>
        <v>TAL-TSF</v>
      </c>
      <c r="AN32" s="175">
        <f>IF(BS_CONTROLE[[#This Row],[SB]]=0, "-", BS_CONTROLE[[#This Row],[SB]])</f>
        <v>699710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700</v>
      </c>
      <c r="AQ32" s="177">
        <f>IF(BS_CONTROLE[[#This Row],[KM - Fim]]=0, "-", BS_CONTROLE[[#This Row],[KM - Fim]])</f>
        <v>703</v>
      </c>
      <c r="AR32" s="32">
        <v>0.41597222222222224</v>
      </c>
      <c r="AS32" s="32"/>
      <c r="AT32" s="32"/>
      <c r="AU32" s="32"/>
      <c r="AV32" s="32"/>
      <c r="AW32" s="32"/>
      <c r="AX32" s="32"/>
      <c r="AY32" s="184">
        <f>IF(D32="","*",IFERROR(IF(ISODD(COUNT(AS32:AX34)),"ERRO",SUM((AT32-AS32),(AV32-AU32),(AX32-AW32))),"ERRO"))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VAGÕES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 xml:space="preserve">Camila </v>
      </c>
      <c r="BG32" s="13"/>
      <c r="BH32" s="14">
        <v>1</v>
      </c>
      <c r="BI32" s="14"/>
      <c r="BJ32" s="14" t="s">
        <v>1346</v>
      </c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BASE_MAPA!$B$2:$B$420, BASE_MAPA!$G$2:$G$420),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IF(D33="","*",IFERROR(IF(ISODD(COUNT(AS33:AX35)),"ERRO",SUM((AT33-AS33),(AV33-AU33),(AX33-AW33))),"ERRO"))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BASE_MAPA!$B$2:$B$420, BASE_MAPA!$G$2:$G$420),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>
      <c r="A34" s="44" t="str">
        <f t="shared" si="1"/>
        <v>BRUNO (TF-525)46057</v>
      </c>
      <c r="B34" s="133">
        <v>46057</v>
      </c>
      <c r="C34" s="7">
        <f>IF(BS_CONTROLE[[#This Row],[DATA]]="","",WEEKNUM(BS_CONTROLE[[#This Row],[DATA]]))</f>
        <v>6</v>
      </c>
      <c r="D34" s="45" t="s">
        <v>278</v>
      </c>
      <c r="E34" s="185">
        <v>27</v>
      </c>
      <c r="F34" s="134" t="s">
        <v>193</v>
      </c>
      <c r="G34" s="8" t="str">
        <f>IF(D34="","*",VLOOKUP(F34,BS_ATIVIDADE[#All],3,FALSE))</f>
        <v>SOLDA</v>
      </c>
      <c r="H34" s="135" t="s">
        <v>586</v>
      </c>
      <c r="I34" s="135" t="s">
        <v>11</v>
      </c>
      <c r="J34" s="151">
        <v>98</v>
      </c>
      <c r="K34" s="151">
        <v>548.14499999999998</v>
      </c>
      <c r="L34" s="71" t="s">
        <v>11</v>
      </c>
      <c r="M34" s="149" t="s">
        <v>582</v>
      </c>
      <c r="N34" s="149" t="s">
        <v>586</v>
      </c>
      <c r="O34" s="135">
        <v>0.375</v>
      </c>
      <c r="P34" s="135">
        <v>0.125</v>
      </c>
      <c r="Q34" s="71">
        <v>2</v>
      </c>
      <c r="R34" s="9" t="s">
        <v>14</v>
      </c>
      <c r="S34" s="180" t="s">
        <v>369</v>
      </c>
      <c r="T34" s="180" t="s">
        <v>577</v>
      </c>
      <c r="U34" s="199" t="s">
        <v>576</v>
      </c>
      <c r="V34" s="143" t="s">
        <v>1313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539TRM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TBE-TRM</v>
      </c>
      <c r="AN34" s="175" t="str">
        <f>IF(BS_CONTROLE[[#This Row],[SB]]=0, "-", BS_CONTROLE[[#This Row],[SB]])</f>
        <v>539TRM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548.14499999999998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IF(D34="","*",IFERROR(IF(ISODD(COUNT(AS34:AX36)),"ERRO",SUM((AT34-AS34),(AV34-AU34),(AX34-AW34))),"ERRO"))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BASE_MAPA!$B$2:$B$420, BASE_MAPA!$G$2:$G$420), "ERRO")</f>
        <v>ALTO ARAGUAIA - RONDONOPOLIS</v>
      </c>
      <c r="BF34" s="178" t="str">
        <f>IF(BS_CONTROLE[[#This Row],[Responsavel pelo boletim]]=0, "-", BS_CONTROLE[[#This Row],[Responsavel pelo boletim]])</f>
        <v>Bruno</v>
      </c>
      <c r="BG34" s="13"/>
      <c r="BH34" s="14"/>
      <c r="BI34" s="14"/>
      <c r="BJ34" s="14" t="s">
        <v>1347</v>
      </c>
      <c r="BK34" s="14"/>
      <c r="BL34" s="13"/>
      <c r="BM34" s="12"/>
      <c r="BN34" s="12"/>
      <c r="BO34" s="130"/>
      <c r="BP34" s="14"/>
      <c r="BQ34" s="10" t="str">
        <f t="shared" si="3"/>
        <v>Produção e Intervalo</v>
      </c>
      <c r="BR34" s="15">
        <f t="shared" si="4"/>
        <v>0</v>
      </c>
      <c r="BS34" s="15">
        <f t="shared" si="5"/>
        <v>0</v>
      </c>
      <c r="BT34" s="157" t="str">
        <f t="shared" si="2"/>
        <v/>
      </c>
    </row>
    <row r="35" spans="1:72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BASE_MAPA!$B$2:$B$420, BASE_MAPA!$G$2:$G$420),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>IF(D35="","*",IFERROR(IF(ISODD(COUNT(AS35:AX37)),"ERRO",SUM((AT35-AS35),(AV35-AU35),(AX35-AW35))),"ERRO"))</f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BASE_MAPA!$B$2:$B$420, BASE_MAPA!$G$2:$G$420),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2"/>
        <v/>
      </c>
    </row>
    <row r="36" spans="1:72">
      <c r="A36" s="44" t="str">
        <f t="shared" si="1"/>
        <v>E4646057</v>
      </c>
      <c r="B36" s="133">
        <v>46057</v>
      </c>
      <c r="C36" s="7">
        <f>IF(BS_CONTROLE[[#This Row],[DATA]]="","",WEEKNUM(BS_CONTROLE[[#This Row],[DATA]]))</f>
        <v>6</v>
      </c>
      <c r="D36" s="45" t="s">
        <v>158</v>
      </c>
      <c r="E36" s="185">
        <v>29</v>
      </c>
      <c r="F36" s="134" t="s">
        <v>25</v>
      </c>
      <c r="G36" s="8" t="str">
        <f>IF(D36="","*",VLOOKUP(F36,BS_ATIVIDADE[#All],3,FALSE))</f>
        <v>OUTROS</v>
      </c>
      <c r="H36" s="135" t="s">
        <v>573</v>
      </c>
      <c r="I36" s="135" t="s">
        <v>416</v>
      </c>
      <c r="J36" s="151">
        <v>98</v>
      </c>
      <c r="K36" s="151">
        <v>502</v>
      </c>
      <c r="L36" s="71">
        <v>109</v>
      </c>
      <c r="M36" s="149" t="s">
        <v>1348</v>
      </c>
      <c r="N36" s="149" t="s">
        <v>1349</v>
      </c>
      <c r="O36" s="135">
        <v>0.41666666666666669</v>
      </c>
      <c r="P36" s="135">
        <v>4.1666666666666664E-2</v>
      </c>
      <c r="Q36" s="71">
        <v>1</v>
      </c>
      <c r="R36" s="9" t="str">
        <f>IFERROR(_xlfn.XLOOKUP(F36, BS_ATIVIDADE[ATIVIDADE],BS_ATIVIDADE[UNIDADE] ), "*")</f>
        <v>BINÁRIO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199" t="str">
        <f>IFERROR(_xlfn.XLOOKUP(J36, BASE_MAPA!$B$2:$B$420, BASE_MAPA!$G$2:$G$420), "ERRO")</f>
        <v>ALTO ARAGUAIA - RONDONOPOLIS</v>
      </c>
      <c r="V36" s="143" t="s">
        <v>1321</v>
      </c>
      <c r="W36" s="135" t="s">
        <v>1291</v>
      </c>
      <c r="X36" s="152" t="s">
        <v>1004</v>
      </c>
      <c r="Y36" s="129" t="s">
        <v>1007</v>
      </c>
      <c r="Z36" s="129"/>
      <c r="AA36" s="71">
        <v>2</v>
      </c>
      <c r="AB36" s="59" t="s">
        <v>1001</v>
      </c>
      <c r="AC36" s="59"/>
      <c r="AD36" s="135">
        <v>0.29166666666666669</v>
      </c>
      <c r="AE36" s="71">
        <v>9323</v>
      </c>
      <c r="AF36" s="71">
        <v>7636</v>
      </c>
      <c r="AG36" s="71"/>
      <c r="AH36" s="42"/>
      <c r="AI36" s="119" t="str">
        <f>IF(BS_CONTROLE[[#This Row],[Atividade]]=0, "-", BS_CONTROLE[[#This Row],[Atividade]])</f>
        <v>DESLOCAMENTO</v>
      </c>
      <c r="AJ36" s="8" t="str">
        <f>IF(D36="","*",VLOOKUP(AI36,BS_ATIVIDADE[#Data],3,FALSE))</f>
        <v>OUTROS</v>
      </c>
      <c r="AK36" s="175" t="str">
        <f>IF(BS_CONTROLE[[#This Row],[Local - Partida]]=0, "-", BS_CONTROLE[[#This Row],[Local - Partida]])</f>
        <v>TGR2</v>
      </c>
      <c r="AL36" s="175" t="str">
        <f>IF(BS_CONTROLE[[#This Row],[Local - Encerramento]]=0, "-", BS_CONTROLE[[#This Row],[Local - Encerramento]])</f>
        <v>TIN</v>
      </c>
      <c r="AM36" s="175" t="str">
        <f>IF(BS_CONTROLE[[#This Row],[Entre - Estações]]=0, "-", BS_CONTROLE[[#This Row],[Entre - Estações]])</f>
        <v>TGR-TIN</v>
      </c>
      <c r="AN36" s="175" t="str">
        <f>IF(BS_CONTROLE[[#This Row],[SB]]=0, "-", BS_CONTROLE[[#This Row],[SB]])</f>
        <v>TGRTIN</v>
      </c>
      <c r="AO36" s="176">
        <f>IF(BS_CONTROLE[[#This Row],[SUB]]=0, "-", BS_CONTROLE[[#This Row],[SUB]])</f>
        <v>98</v>
      </c>
      <c r="AP36" s="177">
        <f>IF(BS_CONTROLE[[#This Row],[KM - Inicio]]=0, "-", BS_CONTROLE[[#This Row],[KM - Inicio]])</f>
        <v>502</v>
      </c>
      <c r="AQ36" s="177">
        <f>IF(BS_CONTROLE[[#This Row],[KM - Fim]]=0, "-", BS_CONTROLE[[#This Row],[KM - Fim]])</f>
        <v>109</v>
      </c>
      <c r="AR36" s="32"/>
      <c r="AS36" s="32"/>
      <c r="AT36" s="32"/>
      <c r="AU36" s="32"/>
      <c r="AV36" s="32"/>
      <c r="AW36" s="32"/>
      <c r="AX36" s="32"/>
      <c r="AY36" s="184">
        <f>IF(D36="","*",IFERROR(IF(ISODD(COUNT(AS36:AX38)),"ERRO",SUM((AT36-AS36),(AV36-AU36),(AX36-AW36))),"ERRO"))</f>
        <v>0</v>
      </c>
      <c r="AZ36" s="11"/>
      <c r="BA36" s="60"/>
      <c r="BB36" s="9" t="str">
        <f>IFERROR(_xlfn.XLOOKUP(AI36, BS_ATIVIDADE[ATIVIDADE],BS_ATIVIDADE[UNIDADE] ), "*")</f>
        <v>BINÁRIO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200" t="str">
        <f>IFERROR(_xlfn.XLOOKUP(AO36, BASE_MAPA!$B$2:$B$420, BASE_MAPA!$G$2:$G$420), "ERRO")</f>
        <v>ALTO ARAGUAIA - RONDONOPOLIS</v>
      </c>
      <c r="BF36" s="178" t="str">
        <f>IF(BS_CONTROLE[[#This Row],[Responsavel pelo boletim]]=0, "-", BS_CONTROLE[[#This Row],[Responsavel pelo boletim]])</f>
        <v xml:space="preserve">PCM </v>
      </c>
      <c r="BG36" s="13"/>
      <c r="BH36" s="14"/>
      <c r="BI36" s="14"/>
      <c r="BJ36" s="14" t="s">
        <v>1350</v>
      </c>
      <c r="BK36" s="14"/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4"/>
        <v>0</v>
      </c>
      <c r="BS36" s="15">
        <f t="shared" si="5"/>
        <v>0</v>
      </c>
      <c r="BT36" s="157" t="str">
        <f t="shared" si="2"/>
        <v/>
      </c>
    </row>
    <row r="37" spans="1:72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BASE_MAPA!$B$2:$B$420, BASE_MAPA!$G$2:$G$420),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IF(D37="","*",IFERROR(IF(ISODD(COUNT(AS37:AX39)),"ERRO",SUM((AT37-AS37),(AV37-AU37),(AX37-AW37))),"ERRO"))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BASE_MAPA!$B$2:$B$420, BASE_MAPA!$G$2:$G$420),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>
      <c r="A38" s="44" t="str">
        <f t="shared" si="1"/>
        <v>ELSON (TF-526)46057</v>
      </c>
      <c r="B38" s="133">
        <v>46057</v>
      </c>
      <c r="C38" s="7">
        <f>IF(BS_CONTROLE[[#This Row],[DATA]]="","",WEEKNUM(BS_CONTROLE[[#This Row],[DATA]]))</f>
        <v>6</v>
      </c>
      <c r="D38" s="45" t="s">
        <v>303</v>
      </c>
      <c r="E38" s="185">
        <v>6</v>
      </c>
      <c r="F38" s="134" t="s">
        <v>193</v>
      </c>
      <c r="G38" s="8" t="s">
        <v>194</v>
      </c>
      <c r="H38" s="135" t="s">
        <v>569</v>
      </c>
      <c r="I38" s="135" t="s">
        <v>11</v>
      </c>
      <c r="J38" s="151">
        <v>74</v>
      </c>
      <c r="K38" s="151">
        <v>498.9</v>
      </c>
      <c r="L38" s="71" t="s">
        <v>11</v>
      </c>
      <c r="M38" s="149" t="s">
        <v>565</v>
      </c>
      <c r="N38" s="149" t="s">
        <v>570</v>
      </c>
      <c r="O38" s="135">
        <v>0.41666666666666669</v>
      </c>
      <c r="P38" s="135">
        <v>0.125</v>
      </c>
      <c r="Q38" s="71">
        <v>2</v>
      </c>
      <c r="R38" s="9" t="s">
        <v>14</v>
      </c>
      <c r="S38" s="180" t="s">
        <v>369</v>
      </c>
      <c r="T38" s="180" t="s">
        <v>479</v>
      </c>
      <c r="U38" s="199" t="s">
        <v>372</v>
      </c>
      <c r="V38" s="143" t="s">
        <v>1313</v>
      </c>
      <c r="W38" s="135" t="s">
        <v>1314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SOLDA</v>
      </c>
      <c r="AJ38" s="8" t="str">
        <f>IF(D38="","*",VLOOKUP(AI38,BS_ATIVIDADE[#Data],3,FALSE))</f>
        <v>SOLDA</v>
      </c>
      <c r="AK38" s="175" t="str">
        <f>IF(BS_CONTROLE[[#This Row],[Local - Partida]]=0, "-", BS_CONTROLE[[#This Row],[Local - Partida]])</f>
        <v>499TGR1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TBR-TGR</v>
      </c>
      <c r="AN38" s="175" t="str">
        <f>IF(BS_CONTROLE[[#This Row],[SB]]=0, "-", BS_CONTROLE[[#This Row],[SB]])</f>
        <v>499TGR2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498.9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>
        <f>IF(D38="","*",IFERROR(IF(ISODD(COUNT(AS38:AX40)),"ERRO",SUM((AT38-AS38),(AV38-AU38),(AX38-AW38))),"ERRO"))</f>
        <v>0</v>
      </c>
      <c r="AZ38" s="11"/>
      <c r="BA38" s="60"/>
      <c r="BB38" s="9" t="str">
        <f>IFERROR(_xlfn.XLOOKUP(AI38, BS_ATIVIDADE[ATIVIDADE],BS_ATIVIDADE[UNIDADE] ), "*")</f>
        <v>Nº DE SOLDA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BASE_MAPA!$B$2:$B$420, BASE_MAPA!$G$2:$G$420), "ERRO")</f>
        <v>MARCO INICIAL - ALTO ARAGUAIA</v>
      </c>
      <c r="BF38" s="178" t="str">
        <f>IF(BS_CONTROLE[[#This Row],[Responsavel pelo boletim]]=0, "-", BS_CONTROLE[[#This Row],[Responsavel pelo boletim]])</f>
        <v>Bruno</v>
      </c>
      <c r="BG38" s="13"/>
      <c r="BH38" s="14"/>
      <c r="BI38" s="14"/>
      <c r="BJ38" s="14" t="s">
        <v>1351</v>
      </c>
      <c r="BK38" s="14"/>
      <c r="BL38" s="13"/>
      <c r="BM38" s="12"/>
      <c r="BN38" s="12"/>
      <c r="BO38" s="130"/>
      <c r="BP38" s="14"/>
      <c r="BQ38" s="10" t="str">
        <f t="shared" si="3"/>
        <v>Produção e Intervalo</v>
      </c>
      <c r="BR38" s="15">
        <f t="shared" si="4"/>
        <v>0</v>
      </c>
      <c r="BS38" s="15">
        <f t="shared" si="5"/>
        <v>0</v>
      </c>
      <c r="BT38" s="157" t="str">
        <f t="shared" si="2"/>
        <v/>
      </c>
    </row>
    <row r="39" spans="1:72">
      <c r="A39" s="44" t="str">
        <f t="shared" si="1"/>
        <v>MARCOS (TF-520)46057</v>
      </c>
      <c r="B39" s="133">
        <v>46057</v>
      </c>
      <c r="C39" s="7">
        <f>IF(BS_CONTROLE[[#This Row],[DATA]]="","",WEEKNUM(BS_CONTROLE[[#This Row],[DATA]]))</f>
        <v>6</v>
      </c>
      <c r="D39" s="45" t="s">
        <v>334</v>
      </c>
      <c r="E39" s="185">
        <v>32</v>
      </c>
      <c r="F39" s="134" t="s">
        <v>193</v>
      </c>
      <c r="G39" s="8" t="str">
        <f>IF(D39="","*",VLOOKUP(F39,BS_ATIVIDADE[#All],3,FALSE))</f>
        <v>SOLDA</v>
      </c>
      <c r="H39" s="135" t="s">
        <v>471</v>
      </c>
      <c r="I39" s="135" t="s">
        <v>11</v>
      </c>
      <c r="J39" s="151">
        <v>74</v>
      </c>
      <c r="K39" s="151">
        <v>280.5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9" s="135">
        <v>0.375</v>
      </c>
      <c r="P39" s="135">
        <v>0.125</v>
      </c>
      <c r="Q39" s="71">
        <v>2</v>
      </c>
      <c r="R39" s="9" t="str">
        <f>IFERROR(_xlfn.XLOOKUP(F39, BS_ATIVIDADE[ATIVIDADE],BS_ATIVIDADE[UNIDADE] ), "*")</f>
        <v>Nº DE SOLDA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BASE_MAPA!$B$2:$B$420, BASE_MAPA!$G$2:$G$420), "ERRO")</f>
        <v>MARCO INICIAL - ALTO ARAGUAIA</v>
      </c>
      <c r="V39" s="143" t="s">
        <v>1294</v>
      </c>
      <c r="W39" s="135" t="s">
        <v>1314</v>
      </c>
      <c r="X39" s="152" t="s">
        <v>1004</v>
      </c>
      <c r="Y39" s="129" t="s">
        <v>1007</v>
      </c>
      <c r="Z39" s="129"/>
      <c r="AA39" s="71" t="s">
        <v>11</v>
      </c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PDM - SOLDA</v>
      </c>
      <c r="AJ39" s="8" t="str">
        <f>IF(D39="","*",VLOOKUP(AI39,BS_ATIVIDADE[#Data],3,FALSE))</f>
        <v>SOLDA</v>
      </c>
      <c r="AK39" s="175" t="str">
        <f>IF(BS_CONTROLE[[#This Row],[Local - Partida]]=0, "-", BS_CONTROLE[[#This Row],[Local - Partida]])</f>
        <v>277TCS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TJA-TCS</v>
      </c>
      <c r="AN39" s="175" t="str">
        <f>IF(BS_CONTROLE[[#This Row],[SB]]=0, "-", BS_CONTROLE[[#This Row],[SB]])</f>
        <v>277TCS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280.5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IF(D39="","*",IFERROR(IF(ISODD(COUNT(AS39:AX41)),"ERRO",SUM((AT39-AS39),(AV39-AU39),(AX39-AW39))),"ERRO"))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Nº DE SOLDA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BASE_MAPA!$B$2:$B$420, BASE_MAPA!$G$2:$G$420), "ERRO")</f>
        <v>MARCO INICIAL - ALTO ARAGUAIA</v>
      </c>
      <c r="BF39" s="178" t="str">
        <f>IF(BS_CONTROLE[[#This Row],[Responsavel pelo boletim]]=0, "-", BS_CONTROLE[[#This Row],[Responsavel pelo boletim]])</f>
        <v>Herbert</v>
      </c>
      <c r="BG39" s="13"/>
      <c r="BH39" s="14"/>
      <c r="BI39" s="14"/>
      <c r="BJ39" s="14" t="s">
        <v>1352</v>
      </c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BASE_MAPA!$B$2:$B$420, BASE_MAPA!$G$2:$G$420),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>IF(D40="","*",IFERROR(IF(ISODD(COUNT(AS40:AX42)),"ERRO",SUM((AT40-AS40),(AV40-AU40),(AX40-AW40))),"ERRO"))</f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BASE_MAPA!$B$2:$B$420, BASE_MAPA!$G$2:$G$420),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2"/>
        <v/>
      </c>
    </row>
    <row r="41" spans="1:72" ht="23.25">
      <c r="A41" s="44" t="str">
        <f t="shared" si="1"/>
        <v>W5046057</v>
      </c>
      <c r="B41" s="133">
        <v>46057</v>
      </c>
      <c r="C41" s="7">
        <f>IF(BS_CONTROLE[[#This Row],[DATA]]="","",WEEKNUM(BS_CONTROLE[[#This Row],[DATA]]))</f>
        <v>6</v>
      </c>
      <c r="D41" s="45" t="s">
        <v>240</v>
      </c>
      <c r="E41" s="185">
        <v>34</v>
      </c>
      <c r="F41" s="134" t="s">
        <v>148</v>
      </c>
      <c r="G41" s="8" t="str">
        <f>IF(D41="","*",VLOOKUP(F41,BS_ATIVIDADE[#All],3,FALSE))</f>
        <v>MODERNIZAÇÃO</v>
      </c>
      <c r="H41" s="135" t="s">
        <v>474</v>
      </c>
      <c r="I41" s="135" t="s">
        <v>474</v>
      </c>
      <c r="J41" s="151">
        <v>74</v>
      </c>
      <c r="K41" s="151">
        <v>245</v>
      </c>
      <c r="L41" s="71">
        <v>244.2</v>
      </c>
      <c r="M41" s="149" t="s">
        <v>459</v>
      </c>
      <c r="N41" s="149">
        <v>239251</v>
      </c>
      <c r="O41" s="135">
        <v>0.35416666666666669</v>
      </c>
      <c r="P41" s="135">
        <v>0.125</v>
      </c>
      <c r="Q41" s="71">
        <v>1000</v>
      </c>
      <c r="R41" s="9" t="s">
        <v>51</v>
      </c>
      <c r="S41" s="180" t="s">
        <v>369</v>
      </c>
      <c r="T41" s="180" t="s">
        <v>373</v>
      </c>
      <c r="U41" s="199" t="s">
        <v>372</v>
      </c>
      <c r="V41" s="143" t="s">
        <v>1353</v>
      </c>
      <c r="W41" s="135" t="s">
        <v>1327</v>
      </c>
      <c r="X41" s="152" t="s">
        <v>1004</v>
      </c>
      <c r="Y41" s="129" t="s">
        <v>1007</v>
      </c>
      <c r="Z41" s="129"/>
      <c r="AA41" s="71" t="s">
        <v>1354</v>
      </c>
      <c r="AB41" s="59" t="s">
        <v>996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RECOLHIMENTO DE DORMENTE</v>
      </c>
      <c r="AJ41" s="8" t="str">
        <f>IF(D41="","*",VLOOKUP(AI41,BS_ATIVIDADE[#Data],3,FALSE))</f>
        <v>MODERNIZAÇÃO</v>
      </c>
      <c r="AK41" s="175" t="str">
        <f>IF(BS_CONTROLE[[#This Row],[Local - Partida]]=0, "-", BS_CONTROLE[[#This Row],[Local - Partida]])</f>
        <v>TCS2</v>
      </c>
      <c r="AL41" s="175" t="str">
        <f>IF(BS_CONTROLE[[#This Row],[Local - Encerramento]]=0, "-", BS_CONTROLE[[#This Row],[Local - Encerramento]])</f>
        <v>TCS2</v>
      </c>
      <c r="AM41" s="175" t="str">
        <f>IF(BS_CONTROLE[[#This Row],[Entre - Estações]]=0, "-", BS_CONTROLE[[#This Row],[Entre - Estações]])</f>
        <v>TVI-TJA</v>
      </c>
      <c r="AN41" s="175">
        <f>IF(BS_CONTROLE[[#This Row],[SB]]=0, "-", BS_CONTROLE[[#This Row],[SB]])</f>
        <v>239251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245</v>
      </c>
      <c r="AQ41" s="177">
        <f>IF(BS_CONTROLE[[#This Row],[KM - Fim]]=0, "-", BS_CONTROLE[[#This Row],[KM - Fim]])</f>
        <v>244.2</v>
      </c>
      <c r="AR41" s="32">
        <v>0.32569444444444445</v>
      </c>
      <c r="AS41" s="32"/>
      <c r="AT41" s="32"/>
      <c r="AU41" s="32"/>
      <c r="AV41" s="32"/>
      <c r="AW41" s="32"/>
      <c r="AX41" s="32"/>
      <c r="AY41" s="184">
        <f>IF(D41="","*",IFERROR(IF(ISODD(COUNT(AS41:AX43)),"ERRO",SUM((AT41-AS41),(AV41-AU41),(AX41-AW41))),"ERRO"))</f>
        <v>0</v>
      </c>
      <c r="AZ41" s="11"/>
      <c r="BA41" s="60"/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BASE_MAPA!$B$2:$B$420, BASE_MAPA!$G$2:$G$420),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1</v>
      </c>
      <c r="BI41" s="14"/>
      <c r="BJ41" s="14" t="s">
        <v>1355</v>
      </c>
      <c r="BK41" s="14"/>
      <c r="BL41" s="13"/>
      <c r="BM41" s="12"/>
      <c r="BN41" s="12"/>
      <c r="BO41" s="130"/>
      <c r="BP41" s="14"/>
      <c r="BQ41" s="10" t="str">
        <f t="shared" si="3"/>
        <v>Produção e Intervalo</v>
      </c>
      <c r="BR41" s="15">
        <f t="shared" si="4"/>
        <v>0</v>
      </c>
      <c r="BS41" s="15">
        <f t="shared" si="5"/>
        <v>0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BASE_MAPA!$B$2:$B$420, BASE_MAPA!$G$2:$G$420),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IF(D43="","*",IFERROR(IF(ISODD(COUNT(AS43:AX45)),"ERRO",SUM((AT43-AS43),(AV43-AU43),(AX43-AW43))),"ERRO"))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BASE_MAPA!$B$2:$B$420, BASE_MAPA!$G$2:$G$420),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>
      <c r="A44" s="44" t="str">
        <f t="shared" si="1"/>
        <v>A6046057</v>
      </c>
      <c r="B44" s="133">
        <v>46057</v>
      </c>
      <c r="C44" s="7">
        <f>IF(BS_CONTROLE[[#This Row],[DATA]]="","",WEEKNUM(BS_CONTROLE[[#This Row],[DATA]]))</f>
        <v>6</v>
      </c>
      <c r="D44" s="45" t="s">
        <v>106</v>
      </c>
      <c r="E44" s="185">
        <v>37</v>
      </c>
      <c r="F44" s="134" t="s">
        <v>32</v>
      </c>
      <c r="G44" s="8" t="str">
        <f>IF(D44="","*",VLOOKUP(F44,BS_ATIVIDADE[#All],3,FALSE))</f>
        <v>DETECÇÃO</v>
      </c>
      <c r="H44" s="135" t="s">
        <v>1356</v>
      </c>
      <c r="I44" s="135" t="s">
        <v>474</v>
      </c>
      <c r="J44" s="151">
        <v>74</v>
      </c>
      <c r="K44" s="151">
        <v>1</v>
      </c>
      <c r="L44" s="71">
        <v>291</v>
      </c>
      <c r="M44" s="149" t="s">
        <v>373</v>
      </c>
      <c r="N44" s="149" t="s">
        <v>1357</v>
      </c>
      <c r="O44" s="135">
        <v>4.1666666666666664E-2</v>
      </c>
      <c r="P44" s="135">
        <v>0.375</v>
      </c>
      <c r="Q44" s="71">
        <v>280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BASE_MAPA!$B$2:$B$420, BASE_MAPA!$G$2:$G$420), "ERRO")</f>
        <v>MARCO INICIAL - ALTO ARAGUAIA</v>
      </c>
      <c r="V44" s="143" t="s">
        <v>1294</v>
      </c>
      <c r="W44" s="135" t="s">
        <v>1358</v>
      </c>
      <c r="X44" s="152" t="s">
        <v>1004</v>
      </c>
      <c r="Y44" s="129" t="s">
        <v>1007</v>
      </c>
      <c r="Z44" s="129"/>
      <c r="AA44" s="71">
        <v>1</v>
      </c>
      <c r="AB44" s="59" t="s">
        <v>996</v>
      </c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TMI</v>
      </c>
      <c r="AL44" s="175" t="str">
        <f>IF(BS_CONTROLE[[#This Row],[Local - Encerramento]]=0, "-", BS_CONTROLE[[#This Row],[Local - Encerramento]])</f>
        <v>TCS2</v>
      </c>
      <c r="AM44" s="175" t="str">
        <f>IF(BS_CONTROLE[[#This Row],[Entre - Estações]]=0, "-", BS_CONTROLE[[#This Row],[Entre - Estações]])</f>
        <v>TMI-TCS</v>
      </c>
      <c r="AN44" s="175" t="str">
        <f>IF(BS_CONTROLE[[#This Row],[SB]]=0, "-", BS_CONTROLE[[#This Row],[SB]])</f>
        <v>TMITCS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</v>
      </c>
      <c r="AQ44" s="177">
        <f>IF(BS_CONTROLE[[#This Row],[KM - Fim]]=0, "-", BS_CONTROLE[[#This Row],[KM - Fim]])</f>
        <v>291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IF(D44="","*",IFERROR(IF(ISODD(COUNT(AS44:AX46)),"ERRO",SUM((AT44-AS44),(AV44-AU44),(AX44-AW44))),"ERRO"))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BASE_MAPA!$B$2:$B$420, BASE_MAPA!$G$2:$G$420), "ERRO")</f>
        <v>MARCO INICIAL - ALTO ARAGUAIA</v>
      </c>
      <c r="BF44" s="178" t="str">
        <f>IF(BS_CONTROLE[[#This Row],[Responsavel pelo boletim]]=0, "-", BS_CONTROLE[[#This Row],[Responsavel pelo boletim]])</f>
        <v>Herbert</v>
      </c>
      <c r="BG44" s="13"/>
      <c r="BH44" s="14">
        <v>1</v>
      </c>
      <c r="BI44" s="14"/>
      <c r="BJ44" s="14" t="s">
        <v>1359</v>
      </c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2"/>
        <v/>
      </c>
    </row>
    <row r="45" spans="1:72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BASE_MAPA!$B$2:$B$420, BASE_MAPA!$G$2:$G$420),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IF(D45="","*",IFERROR(IF(ISODD(COUNT(AS45:AX47)),"ERRO",SUM((AT45-AS45),(AV45-AU45),(AX45-AW45))),"ERRO"))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BASE_MAPA!$B$2:$B$420, BASE_MAPA!$G$2:$G$420),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>
      <c r="A46" s="44" t="str">
        <f t="shared" si="1"/>
        <v>A7146057</v>
      </c>
      <c r="B46" s="133">
        <v>46057</v>
      </c>
      <c r="C46" s="7">
        <f>IF(BS_CONTROLE[[#This Row],[DATA]]="","",WEEKNUM(BS_CONTROLE[[#This Row],[DATA]]))</f>
        <v>6</v>
      </c>
      <c r="D46" s="45" t="s">
        <v>124</v>
      </c>
      <c r="E46" s="185">
        <v>39</v>
      </c>
      <c r="F46" s="134" t="s">
        <v>154</v>
      </c>
      <c r="G46" s="8" t="str">
        <f>IF(D46="","*",VLOOKUP(F46,BS_ATIVIDADE[#All],3,FALSE))</f>
        <v>OUTROS</v>
      </c>
      <c r="H46" s="135" t="s">
        <v>908</v>
      </c>
      <c r="I46" s="135" t="s">
        <v>1360</v>
      </c>
      <c r="J46" s="151">
        <v>103</v>
      </c>
      <c r="K46" s="151">
        <v>1585.5</v>
      </c>
      <c r="L46" s="71">
        <v>1533.5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46" s="135">
        <v>0.375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" s="199" t="str">
        <f>IFERROR(_xlfn.XLOOKUP(J46, BASE_MAPA!$B$2:$B$420, BASE_MAPA!$G$2:$G$420), "ERRO")</f>
        <v>OURO VERDE - LIGAÇÃO</v>
      </c>
      <c r="V46" s="143" t="s">
        <v>1361</v>
      </c>
      <c r="W46" s="135" t="s">
        <v>1362</v>
      </c>
      <c r="X46" s="152" t="s">
        <v>1004</v>
      </c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OUTRAS ATIVIDADES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PTRPNV</v>
      </c>
      <c r="AL46" s="175" t="str">
        <f>IF(BS_CONTROLE[[#This Row],[Local - Encerramento]]=0, "-", BS_CONTROLE[[#This Row],[Local - Encerramento]])</f>
        <v>POSPNV</v>
      </c>
      <c r="AM46" s="175" t="str">
        <f>IF(BS_CONTROLE[[#This Row],[Entre - Estações]]=0, "-", BS_CONTROLE[[#This Row],[Entre - Estações]])</f>
        <v>PNV-PTR</v>
      </c>
      <c r="AN46" s="175" t="str">
        <f>IF(BS_CONTROLE[[#This Row],[SB]]=0, "-", BS_CONTROLE[[#This Row],[SB]])</f>
        <v>PTRPNV</v>
      </c>
      <c r="AO46" s="176">
        <f>IF(BS_CONTROLE[[#This Row],[SUB]]=0, "-", BS_CONTROLE[[#This Row],[SUB]])</f>
        <v>103</v>
      </c>
      <c r="AP46" s="177">
        <f>IF(BS_CONTROLE[[#This Row],[KM - Inicio]]=0, "-", BS_CONTROLE[[#This Row],[KM - Inicio]])</f>
        <v>1585.5</v>
      </c>
      <c r="AQ46" s="177">
        <f>IF(BS_CONTROLE[[#This Row],[KM - Fim]]=0, "-", BS_CONTROLE[[#This Row],[KM - Fim]])</f>
        <v>1533.5</v>
      </c>
      <c r="AR46" s="32"/>
      <c r="AS46" s="32"/>
      <c r="AT46" s="32"/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" s="200" t="str">
        <f>IFERROR(_xlfn.XLOOKUP(AO46, BASE_MAPA!$B$2:$B$420, BASE_MAPA!$G$2:$G$420), "ERRO")</f>
        <v>OURO VERDE - LIGAÇÃO</v>
      </c>
      <c r="BF46" s="178" t="str">
        <f>IF(BS_CONTROLE[[#This Row],[Responsavel pelo boletim]]=0, "-", BS_CONTROLE[[#This Row],[Responsavel pelo boletim]])</f>
        <v>Antonio Bezerra</v>
      </c>
      <c r="BG46" s="13"/>
      <c r="BH46" s="14">
        <v>1</v>
      </c>
      <c r="BI46" s="14"/>
      <c r="BJ46" s="14" t="s">
        <v>1363</v>
      </c>
      <c r="BK46" s="14"/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>
      <c r="A47" s="44" t="str">
        <f t="shared" si="1"/>
        <v>A1746057</v>
      </c>
      <c r="B47" s="133">
        <v>46057</v>
      </c>
      <c r="C47" s="7">
        <f>IF(BS_CONTROLE[[#This Row],[DATA]]="","",WEEKNUM(BS_CONTROLE[[#This Row],[DATA]]))</f>
        <v>6</v>
      </c>
      <c r="D47" s="45" t="s">
        <v>88</v>
      </c>
      <c r="E47" s="185">
        <v>40</v>
      </c>
      <c r="F47" s="134" t="s">
        <v>81</v>
      </c>
      <c r="G47" s="8" t="str">
        <f>IF(D47="","*",VLOOKUP(F47,BS_ATIVIDADE[#All],3,FALSE))</f>
        <v>INFRAESTRUTURA</v>
      </c>
      <c r="H47" s="135" t="s">
        <v>913</v>
      </c>
      <c r="I47" s="135" t="s">
        <v>923</v>
      </c>
      <c r="J47" s="151">
        <v>103</v>
      </c>
      <c r="K47" s="151">
        <v>1613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7" s="135">
        <v>0.375</v>
      </c>
      <c r="P47" s="135">
        <v>4.1666666666666664E-2</v>
      </c>
      <c r="Q47" s="71">
        <v>1</v>
      </c>
      <c r="R47" s="9" t="str">
        <f>IFERROR(_xlfn.XLOOKUP(F47, BS_ATIVIDADE[ATIVIDADE],BS_ATIVIDADE[UNIDADE] ), "*")</f>
        <v>Nº DE ITENS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7" s="199" t="str">
        <f>IFERROR(_xlfn.XLOOKUP(J47, BASE_MAPA!$B$2:$B$420, BASE_MAPA!$G$2:$G$420), "ERRO")</f>
        <v>OURO VERDE - LIGAÇÃO</v>
      </c>
      <c r="V47" s="143" t="s">
        <v>1364</v>
      </c>
      <c r="W47" s="135" t="s">
        <v>1365</v>
      </c>
      <c r="X47" s="152" t="s">
        <v>1004</v>
      </c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INFRAESTRUTURA</v>
      </c>
      <c r="AJ47" s="8" t="str">
        <f>IF(D47="","*",VLOOKUP(AI47,BS_ATIVIDADE[#Data],3,FALSE))</f>
        <v>INFRAESTRUTURA</v>
      </c>
      <c r="AK47" s="175" t="str">
        <f>IF(BS_CONTROLE[[#This Row],[Local - Partida]]=0, "-", BS_CONTROLE[[#This Row],[Local - Partida]])</f>
        <v>PPGPTR</v>
      </c>
      <c r="AL47" s="175" t="str">
        <f>IF(BS_CONTROLE[[#This Row],[Local - Encerramento]]=0, "-", BS_CONTROLE[[#This Row],[Local - Encerramento]])</f>
        <v>PSGPAR</v>
      </c>
      <c r="AM47" s="175" t="str">
        <f>IF(BS_CONTROLE[[#This Row],[Entre - Estações]]=0, "-", BS_CONTROLE[[#This Row],[Entre - Estações]])</f>
        <v>PTR-PPG</v>
      </c>
      <c r="AN47" s="175" t="str">
        <f>IF(BS_CONTROLE[[#This Row],[SB]]=0, "-", BS_CONTROLE[[#This Row],[SB]])</f>
        <v>PPGPTR</v>
      </c>
      <c r="AO47" s="176">
        <f>IF(BS_CONTROLE[[#This Row],[SUB]]=0, "-", BS_CONTROLE[[#This Row],[SUB]])</f>
        <v>103</v>
      </c>
      <c r="AP47" s="177">
        <f>IF(BS_CONTROLE[[#This Row],[KM - Inicio]]=0, "-", BS_CONTROLE[[#This Row],[KM - Inicio]])</f>
        <v>1613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>
        <f>IF(D47="","*",IFERROR(IF(ISODD(COUNT(AS47:AX49)),"ERRO",SUM((AT47-AS47),(AV47-AU47),(AX47-AW47))),"ERRO"))</f>
        <v>0</v>
      </c>
      <c r="AZ47" s="11"/>
      <c r="BA47" s="60"/>
      <c r="BB47" s="9" t="str">
        <f>IFERROR(_xlfn.XLOOKUP(AI47, BS_ATIVIDADE[ATIVIDADE],BS_ATIVIDADE[UNIDADE] ), "*")</f>
        <v>Nº DE ITENS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7" s="200" t="str">
        <f>IFERROR(_xlfn.XLOOKUP(AO47, BASE_MAPA!$B$2:$B$420, BASE_MAPA!$G$2:$G$420), "ERRO")</f>
        <v>OURO VERDE - LIGAÇÃO</v>
      </c>
      <c r="BF47" s="178" t="str">
        <f>IF(BS_CONTROLE[[#This Row],[Responsavel pelo boletim]]=0, "-", BS_CONTROLE[[#This Row],[Responsavel pelo boletim]])</f>
        <v>Anotnio bezerra</v>
      </c>
      <c r="BG47" s="13"/>
      <c r="BH47" s="14">
        <v>1</v>
      </c>
      <c r="BI47" s="14"/>
      <c r="BJ47" s="14" t="s">
        <v>1366</v>
      </c>
      <c r="BK47" s="14"/>
      <c r="BL47" s="13"/>
      <c r="BM47" s="12"/>
      <c r="BN47" s="12"/>
      <c r="BO47" s="130"/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BASE_MAPA!$B$2:$B$420, BASE_MAPA!$G$2:$G$420),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IF(D49="","*",IFERROR(IF(ISODD(COUNT(AS49:AX51)),"ERRO",SUM((AT49-AS49),(AV49-AU49),(AX49-AW49))),"ERRO"))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BASE_MAPA!$B$2:$B$420, BASE_MAPA!$G$2:$G$420),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BASE_MAPA!$B$2:$B$420, BASE_MAPA!$G$2:$G$420),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IF(D55="","*",IFERROR(IF(ISODD(COUNT(AS55:AX57)),"ERRO",SUM((AT55-AS55),(AV55-AU55),(AX55-AW55))),"ERRO"))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BASE_MAPA!$B$2:$B$420, BASE_MAPA!$G$2:$G$420),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BASE_MAPA!$B$2:$B$420, BASE_MAPA!$G$2:$G$420),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IF(D58="","*",IFERROR(IF(ISODD(COUNT(AS58:AX60)),"ERRO",SUM((AT58-AS58),(AV58-AU58),(AX58-AW58))),"ERRO"))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BASE_MAPA!$B$2:$B$420, BASE_MAPA!$G$2:$G$420),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BASE_MAPA!$B$2:$B$420, BASE_MAPA!$G$2:$G$420),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IF(D60="","*",IFERROR(IF(ISODD(COUNT(AS60:AX62)),"ERRO",SUM((AT60-AS60),(AV60-AU60),(AX60-AW60))),"ERRO"))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BASE_MAPA!$B$2:$B$420, BASE_MAPA!$G$2:$G$420),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BASE_MAPA!$B$2:$B$420, BASE_MAPA!$G$2:$G$420),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BASE_MAPA!$B$2:$B$420, BASE_MAPA!$G$2:$G$420),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BASE_MAPA!$B$2:$B$420, BASE_MAPA!$G$2:$G$420),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BASE_MAPA!$B$2:$B$420, BASE_MAPA!$G$2:$G$420),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>
      <c r="A73" s="44" t="str">
        <f t="shared" ref="A73:A136" si="6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7">IF(AND(BR73&lt;1,BS73&lt;1),"Produção e Intervalo",IF(BR73&lt;1,"Intervalo",IF(BS73&lt;1,"Produção","Aderente")))</f>
        <v>Aderente</v>
      </c>
      <c r="BR73" s="15" t="str">
        <f t="shared" ref="BR73:BR136" si="8">IF(OR(B73="",F73=""),"*",AY73/P73)</f>
        <v>*</v>
      </c>
      <c r="BS73" s="15" t="str">
        <f t="shared" ref="BS73:BS136" si="9">IF(OR(B73="",F73=""),"*",BA73/Q73)</f>
        <v>*</v>
      </c>
      <c r="BT73" s="157" t="str">
        <f t="shared" ref="BT73:BT136" si="10">IF(BN73="","",SUBSTITUTE(BM73," ","")&amp;SUBSTITUTE(BN73," ",""))</f>
        <v/>
      </c>
    </row>
    <row r="74" spans="1:72">
      <c r="A74" s="44" t="str">
        <f t="shared" si="6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BASE_MAPA!$B$2:$B$420, BASE_MAPA!$G$2:$G$420),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BASE_MAPA!$B$2:$B$420, BASE_MAPA!$G$2:$G$420),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7"/>
        <v>Aderente</v>
      </c>
      <c r="BR74" s="15" t="str">
        <f t="shared" si="8"/>
        <v>*</v>
      </c>
      <c r="BS74" s="15" t="str">
        <f t="shared" si="9"/>
        <v>*</v>
      </c>
      <c r="BT74" s="157" t="str">
        <f t="shared" si="10"/>
        <v/>
      </c>
    </row>
    <row r="75" spans="1:72">
      <c r="A75" s="44" t="str">
        <f t="shared" si="6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7"/>
        <v>Aderente</v>
      </c>
      <c r="BR75" s="15" t="str">
        <f t="shared" si="8"/>
        <v>*</v>
      </c>
      <c r="BS75" s="15" t="str">
        <f t="shared" si="9"/>
        <v>*</v>
      </c>
      <c r="BT75" s="157" t="str">
        <f t="shared" si="10"/>
        <v/>
      </c>
    </row>
    <row r="76" spans="1:72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>
      <c r="A137" s="44" t="str">
        <f t="shared" ref="A137:A200" si="11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2">IF(AND(BR137&lt;1,BS137&lt;1),"Produção e Intervalo",IF(BR137&lt;1,"Intervalo",IF(BS137&lt;1,"Produção","Aderente")))</f>
        <v>Aderente</v>
      </c>
      <c r="BR137" s="15" t="str">
        <f t="shared" ref="BR137:BR200" si="13">IF(OR(B137="",F137=""),"*",AY137/P137)</f>
        <v>*</v>
      </c>
      <c r="BS137" s="15" t="str">
        <f t="shared" ref="BS137:BS200" si="14">IF(OR(B137="",F137=""),"*",BA137/Q137)</f>
        <v>*</v>
      </c>
      <c r="BT137" s="157" t="str">
        <f t="shared" ref="BT137:BT200" si="15">IF(BN137="","",SUBSTITUTE(BM137," ","")&amp;SUBSTITUTE(BN137," ",""))</f>
        <v/>
      </c>
    </row>
    <row r="138" spans="1:72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>
      <c r="A139" s="44" t="str">
        <f t="shared" si="11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2"/>
        <v>Aderente</v>
      </c>
      <c r="BR139" s="15" t="str">
        <f t="shared" si="13"/>
        <v>*</v>
      </c>
      <c r="BS139" s="15" t="str">
        <f t="shared" si="14"/>
        <v>*</v>
      </c>
      <c r="BT139" s="157" t="str">
        <f t="shared" si="15"/>
        <v/>
      </c>
    </row>
    <row r="140" spans="1:72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>
      <c r="A201" s="44" t="str">
        <f t="shared" ref="A201:A264" si="16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7">IF(AND(BR201&lt;1,BS201&lt;1),"Produção e Intervalo",IF(BR201&lt;1,"Intervalo",IF(BS201&lt;1,"Produção","Aderente")))</f>
        <v>Aderente</v>
      </c>
      <c r="BR201" s="15" t="str">
        <f t="shared" ref="BR201:BR264" si="18">IF(OR(B201="",F201=""),"*",AY201/P201)</f>
        <v>*</v>
      </c>
      <c r="BS201" s="15" t="str">
        <f t="shared" ref="BS201:BS264" si="19">IF(OR(B201="",F201=""),"*",BA201/Q201)</f>
        <v>*</v>
      </c>
      <c r="BT201" s="157" t="str">
        <f t="shared" ref="BT201:BT264" si="20">IF(BN201="","",SUBSTITUTE(BM201," ","")&amp;SUBSTITUTE(BN201," ",""))</f>
        <v/>
      </c>
    </row>
    <row r="202" spans="1:72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>
      <c r="A203" s="44" t="str">
        <f t="shared" si="16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7"/>
        <v>Aderente</v>
      </c>
      <c r="BR203" s="15" t="str">
        <f t="shared" si="18"/>
        <v>*</v>
      </c>
      <c r="BS203" s="15" t="str">
        <f t="shared" si="19"/>
        <v>*</v>
      </c>
      <c r="BT203" s="157" t="str">
        <f t="shared" si="20"/>
        <v/>
      </c>
    </row>
    <row r="204" spans="1:72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>
      <c r="A265" s="44" t="str">
        <f t="shared" ref="A265:A328" si="21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2">IF(AND(BR265&lt;1,BS265&lt;1),"Produção e Intervalo",IF(BR265&lt;1,"Intervalo",IF(BS265&lt;1,"Produção","Aderente")))</f>
        <v>Aderente</v>
      </c>
      <c r="BR265" s="15" t="str">
        <f t="shared" ref="BR265:BR328" si="23">IF(OR(B265="",F265=""),"*",AY265/P265)</f>
        <v>*</v>
      </c>
      <c r="BS265" s="15" t="str">
        <f t="shared" ref="BS265:BS328" si="24">IF(OR(B265="",F265=""),"*",BA265/Q265)</f>
        <v>*</v>
      </c>
      <c r="BT265" s="157" t="str">
        <f t="shared" ref="BT265:BT328" si="25">IF(BN265="","",SUBSTITUTE(BM265," ","")&amp;SUBSTITUTE(BN265," ",""))</f>
        <v/>
      </c>
    </row>
    <row r="266" spans="1:72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>
      <c r="A267" s="44" t="str">
        <f t="shared" si="21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2"/>
        <v>Aderente</v>
      </c>
      <c r="BR267" s="15" t="str">
        <f t="shared" si="23"/>
        <v>*</v>
      </c>
      <c r="BS267" s="15" t="str">
        <f t="shared" si="24"/>
        <v>*</v>
      </c>
      <c r="BT267" s="157" t="str">
        <f t="shared" si="25"/>
        <v/>
      </c>
    </row>
    <row r="268" spans="1:72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>
      <c r="A329" s="44" t="str">
        <f t="shared" ref="A329:A392" si="26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7">IF(AND(BR329&lt;1,BS329&lt;1),"Produção e Intervalo",IF(BR329&lt;1,"Intervalo",IF(BS329&lt;1,"Produção","Aderente")))</f>
        <v>Aderente</v>
      </c>
      <c r="BR329" s="15" t="str">
        <f t="shared" ref="BR329:BR392" si="28">IF(OR(B329="",F329=""),"*",AY329/P329)</f>
        <v>*</v>
      </c>
      <c r="BS329" s="15" t="str">
        <f t="shared" ref="BS329:BS392" si="29">IF(OR(B329="",F329=""),"*",BA329/Q329)</f>
        <v>*</v>
      </c>
      <c r="BT329" s="157" t="str">
        <f t="shared" ref="BT329:BT392" si="30">IF(BN329="","",SUBSTITUTE(BM329," ","")&amp;SUBSTITUTE(BN329," ",""))</f>
        <v/>
      </c>
    </row>
    <row r="330" spans="1:72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>
      <c r="A331" s="44" t="str">
        <f t="shared" si="26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7"/>
        <v>Aderente</v>
      </c>
      <c r="BR331" s="15" t="str">
        <f t="shared" si="28"/>
        <v>*</v>
      </c>
      <c r="BS331" s="15" t="str">
        <f t="shared" si="29"/>
        <v>*</v>
      </c>
      <c r="BT331" s="157" t="str">
        <f t="shared" si="30"/>
        <v/>
      </c>
    </row>
    <row r="332" spans="1:72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>
      <c r="A393" s="44" t="str">
        <f t="shared" ref="A393:A456" si="31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2">IF(AND(BR393&lt;1,BS393&lt;1),"Produção e Intervalo",IF(BR393&lt;1,"Intervalo",IF(BS393&lt;1,"Produção","Aderente")))</f>
        <v>Aderente</v>
      </c>
      <c r="BR393" s="15" t="str">
        <f t="shared" ref="BR393:BR456" si="33">IF(OR(B393="",F393=""),"*",AY393/P393)</f>
        <v>*</v>
      </c>
      <c r="BS393" s="15" t="str">
        <f t="shared" ref="BS393:BS456" si="34">IF(OR(B393="",F393=""),"*",BA393/Q393)</f>
        <v>*</v>
      </c>
      <c r="BT393" s="157" t="str">
        <f t="shared" ref="BT393:BT456" si="35">IF(BN393="","",SUBSTITUTE(BM393," ","")&amp;SUBSTITUTE(BN393," ",""))</f>
        <v/>
      </c>
    </row>
    <row r="394" spans="1:72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>
      <c r="A395" s="44" t="str">
        <f t="shared" si="31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2"/>
        <v>Aderente</v>
      </c>
      <c r="BR395" s="15" t="str">
        <f t="shared" si="33"/>
        <v>*</v>
      </c>
      <c r="BS395" s="15" t="str">
        <f t="shared" si="34"/>
        <v>*</v>
      </c>
      <c r="BT395" s="157" t="str">
        <f t="shared" si="35"/>
        <v/>
      </c>
    </row>
    <row r="396" spans="1:72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>
      <c r="A457" s="44" t="str">
        <f t="shared" ref="A457:A520" si="36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7">IF(AND(BR457&lt;1,BS457&lt;1),"Produção e Intervalo",IF(BR457&lt;1,"Intervalo",IF(BS457&lt;1,"Produção","Aderente")))</f>
        <v>Aderente</v>
      </c>
      <c r="BR457" s="15" t="str">
        <f t="shared" ref="BR457:BR520" si="38">IF(OR(B457="",F457=""),"*",AY457/P457)</f>
        <v>*</v>
      </c>
      <c r="BS457" s="15" t="str">
        <f t="shared" ref="BS457:BS520" si="39">IF(OR(B457="",F457=""),"*",BA457/Q457)</f>
        <v>*</v>
      </c>
      <c r="BT457" s="157" t="str">
        <f t="shared" ref="BT457:BT520" si="40">IF(BN457="","",SUBSTITUTE(BM457," ","")&amp;SUBSTITUTE(BN457," ",""))</f>
        <v/>
      </c>
    </row>
    <row r="458" spans="1:72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>
      <c r="A459" s="44" t="str">
        <f t="shared" si="36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7"/>
        <v>Aderente</v>
      </c>
      <c r="BR459" s="15" t="str">
        <f t="shared" si="38"/>
        <v>*</v>
      </c>
      <c r="BS459" s="15" t="str">
        <f t="shared" si="39"/>
        <v>*</v>
      </c>
      <c r="BT459" s="157" t="str">
        <f t="shared" si="40"/>
        <v/>
      </c>
    </row>
    <row r="460" spans="1:72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>
      <c r="A521" s="44" t="str">
        <f t="shared" ref="A521:A584" si="41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2">IF(AND(BR521&lt;1,BS521&lt;1),"Produção e Intervalo",IF(BR521&lt;1,"Intervalo",IF(BS521&lt;1,"Produção","Aderente")))</f>
        <v>Aderente</v>
      </c>
      <c r="BR521" s="15" t="str">
        <f t="shared" ref="BR521:BR584" si="43">IF(OR(B521="",F521=""),"*",AY521/P521)</f>
        <v>*</v>
      </c>
      <c r="BS521" s="15" t="str">
        <f t="shared" ref="BS521:BS584" si="44">IF(OR(B521="",F521=""),"*",BA521/Q521)</f>
        <v>*</v>
      </c>
      <c r="BT521" s="157" t="str">
        <f t="shared" ref="BT521:BT584" si="45">IF(BN521="","",SUBSTITUTE(BM521," ","")&amp;SUBSTITUTE(BN521," ",""))</f>
        <v/>
      </c>
    </row>
    <row r="522" spans="1:72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>
      <c r="A523" s="44" t="str">
        <f t="shared" si="41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2"/>
        <v>Aderente</v>
      </c>
      <c r="BR523" s="15" t="str">
        <f t="shared" si="43"/>
        <v>*</v>
      </c>
      <c r="BS523" s="15" t="str">
        <f t="shared" si="44"/>
        <v>*</v>
      </c>
      <c r="BT523" s="157" t="str">
        <f t="shared" si="45"/>
        <v/>
      </c>
    </row>
    <row r="524" spans="1:72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>
      <c r="A585" s="44" t="str">
        <f t="shared" ref="A585:A648" si="46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7">IF(AND(BR585&lt;1,BS585&lt;1),"Produção e Intervalo",IF(BR585&lt;1,"Intervalo",IF(BS585&lt;1,"Produção","Aderente")))</f>
        <v>Aderente</v>
      </c>
      <c r="BR585" s="15" t="str">
        <f t="shared" ref="BR585:BR648" si="48">IF(OR(B585="",F585=""),"*",AY585/P585)</f>
        <v>*</v>
      </c>
      <c r="BS585" s="15" t="str">
        <f t="shared" ref="BS585:BS648" si="49">IF(OR(B585="",F585=""),"*",BA585/Q585)</f>
        <v>*</v>
      </c>
      <c r="BT585" s="157" t="str">
        <f t="shared" ref="BT585:BT648" si="50">IF(BN585="","",SUBSTITUTE(BM585," ","")&amp;SUBSTITUTE(BN585," ",""))</f>
        <v/>
      </c>
    </row>
    <row r="586" spans="1:72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>
      <c r="A587" s="44" t="str">
        <f t="shared" si="46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7"/>
        <v>Aderente</v>
      </c>
      <c r="BR587" s="15" t="str">
        <f t="shared" si="48"/>
        <v>*</v>
      </c>
      <c r="BS587" s="15" t="str">
        <f t="shared" si="49"/>
        <v>*</v>
      </c>
      <c r="BT587" s="157" t="str">
        <f t="shared" si="50"/>
        <v/>
      </c>
    </row>
    <row r="588" spans="1:72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>
      <c r="A649" s="44" t="str">
        <f t="shared" ref="A649:A712" si="5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2">IF(AND(BR649&lt;1,BS649&lt;1),"Produção e Intervalo",IF(BR649&lt;1,"Intervalo",IF(BS649&lt;1,"Produção","Aderente")))</f>
        <v>Aderente</v>
      </c>
      <c r="BR649" s="15" t="str">
        <f t="shared" ref="BR649:BR712" si="53">IF(OR(B649="",F649=""),"*",AY649/P649)</f>
        <v>*</v>
      </c>
      <c r="BS649" s="15" t="str">
        <f t="shared" ref="BS649:BS712" si="54">IF(OR(B649="",F649=""),"*",BA649/Q649)</f>
        <v>*</v>
      </c>
      <c r="BT649" s="157" t="str">
        <f t="shared" ref="BT649:BT712" si="55">IF(BN649="","",SUBSTITUTE(BM649," ","")&amp;SUBSTITUTE(BN649," ",""))</f>
        <v/>
      </c>
    </row>
    <row r="650" spans="1:72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>
      <c r="A651" s="44" t="str">
        <f t="shared" si="5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2"/>
        <v>Aderente</v>
      </c>
      <c r="BR651" s="15" t="str">
        <f t="shared" si="53"/>
        <v>*</v>
      </c>
      <c r="BS651" s="15" t="str">
        <f t="shared" si="54"/>
        <v>*</v>
      </c>
      <c r="BT651" s="157" t="str">
        <f t="shared" si="55"/>
        <v/>
      </c>
    </row>
    <row r="652" spans="1:72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>
      <c r="A713" s="44" t="str">
        <f t="shared" ref="A713:A776" si="56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7">IF(AND(BR713&lt;1,BS713&lt;1),"Produção e Intervalo",IF(BR713&lt;1,"Intervalo",IF(BS713&lt;1,"Produção","Aderente")))</f>
        <v>Aderente</v>
      </c>
      <c r="BR713" s="15" t="str">
        <f t="shared" ref="BR713:BR776" si="58">IF(OR(B713="",F713=""),"*",AY713/P713)</f>
        <v>*</v>
      </c>
      <c r="BS713" s="15" t="str">
        <f t="shared" ref="BS713:BS776" si="59">IF(OR(B713="",F713=""),"*",BA713/Q713)</f>
        <v>*</v>
      </c>
      <c r="BT713" s="157" t="str">
        <f t="shared" ref="BT713:BT776" si="60">IF(BN713="","",SUBSTITUTE(BM713," ","")&amp;SUBSTITUTE(BN713," ",""))</f>
        <v/>
      </c>
    </row>
    <row r="714" spans="1:72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>
      <c r="A715" s="44" t="str">
        <f t="shared" si="56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7"/>
        <v>Aderente</v>
      </c>
      <c r="BR715" s="15" t="str">
        <f t="shared" si="58"/>
        <v>*</v>
      </c>
      <c r="BS715" s="15" t="str">
        <f t="shared" si="59"/>
        <v>*</v>
      </c>
      <c r="BT715" s="157" t="str">
        <f t="shared" si="60"/>
        <v/>
      </c>
    </row>
    <row r="716" spans="1:72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>
      <c r="A777" s="44" t="str">
        <f t="shared" ref="A777:A802" si="61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2">IF(AND(BR777&lt;1,BS777&lt;1),"Produção e Intervalo",IF(BR777&lt;1,"Intervalo",IF(BS777&lt;1,"Produção","Aderente")))</f>
        <v>Aderente</v>
      </c>
      <c r="BR777" s="15" t="str">
        <f t="shared" ref="BR777:BR802" si="63">IF(OR(B777="",F777=""),"*",AY777/P777)</f>
        <v>*</v>
      </c>
      <c r="BS777" s="15" t="str">
        <f t="shared" ref="BS777:BS802" si="64">IF(OR(B777="",F777=""),"*",BA777/Q777)</f>
        <v>*</v>
      </c>
      <c r="BT777" s="157" t="str">
        <f t="shared" ref="BT777:BT802" si="65">IF(BN777="","",SUBSTITUTE(BM777," ","")&amp;SUBSTITUTE(BN777," ",""))</f>
        <v/>
      </c>
    </row>
    <row r="778" spans="1:72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>
      <c r="A779" s="44" t="str">
        <f t="shared" si="61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2"/>
        <v>Aderente</v>
      </c>
      <c r="BR779" s="15" t="str">
        <f t="shared" si="63"/>
        <v>*</v>
      </c>
      <c r="BS779" s="15" t="str">
        <f t="shared" si="64"/>
        <v>*</v>
      </c>
      <c r="BT779" s="157" t="str">
        <f t="shared" si="65"/>
        <v/>
      </c>
    </row>
    <row r="780" spans="1:72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BASE_MAPA!$B$2:$B$420, BASE_MAPA!$G$2:$G$420),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IF(D796="","*",IFERROR(IF(ISODD(COUNT(AS796:AX798)),"ERRO",SUM((AT796-AS796),(AV796-AU796),(AX796-AW796))),"ERRO"))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BASE_MAPA!$B$2:$B$420, BASE_MAPA!$G$2:$G$420),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BASE_MAPA!$B$2:$B$420, BASE_MAPA!$G$2:$G$420),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IF(D797="","*",IFERROR(IF(ISODD(COUNT(AS797:AX799)),"ERRO",SUM((AT797-AS797),(AV797-AU797),(AX797-AW797))),"ERRO"))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BASE_MAPA!$B$2:$B$420, BASE_MAPA!$G$2:$G$420),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BASE_MAPA!$B$2:$B$420, BASE_MAPA!$G$2:$G$420),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IF(D798="","*",IFERROR(IF(ISODD(COUNT(AS798:AX800)),"ERRO",SUM((AT798-AS798),(AV798-AU798),(AX798-AW798))),"ERRO"))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BASE_MAPA!$B$2:$B$420, BASE_MAPA!$G$2:$G$420),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BASE_MAPA!$B$2:$B$420, BASE_MAPA!$G$2:$G$420),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IF(D799="","*",IFERROR(IF(ISODD(COUNT(AS799:AX801)),"ERRO",SUM((AT799-AS799),(AV799-AU799),(AX799-AW799))),"ERRO"))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BASE_MAPA!$B$2:$B$420, BASE_MAPA!$G$2:$G$420),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BASE_MAPA!$B$2:$B$420, BASE_MAPA!$G$2:$G$420),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IF(D800="","*",IFERROR(IF(ISODD(COUNT(AS800:AX802)),"ERRO",SUM((AT800-AS800),(AV800-AU800),(AX800-AW800))),"ERRO"))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BASE_MAPA!$B$2:$B$420, BASE_MAPA!$G$2:$G$420),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BASE_MAPA!$B$2:$B$420, BASE_MAPA!$G$2:$G$420),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IF(D801="","*",IFERROR(IF(ISODD(COUNT(AS801:AX803)),"ERRO",SUM((AT801-AS801),(AV801-AU801),(AX801-AW801))),"ERRO"))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BASE_MAPA!$B$2:$B$420, BASE_MAPA!$G$2:$G$420),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BASE_MAPA!$B$2:$B$420, BASE_MAPA!$G$2:$G$420),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IF(D802="","*",IFERROR(IF(ISODD(COUNT(AS802:AX804)),"ERRO",SUM((AT802-AS802),(AV802-AU802),(AX802-AW802))),"ERRO"))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BASE_MAPA!$B$2:$B$420, BASE_MAPA!$G$2:$G$420),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</sheetData>
  <protectedRanges>
    <protectedRange sqref="J6:K802" name="Range1_8_1"/>
    <protectedRange sqref="O6:Q802" name="Range1_9_1"/>
    <protectedRange sqref="Y6:Y7 V8:Y802" name="Range1_11_1"/>
    <protectedRange sqref="AA6 Z8:AD802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 BK17 BK22:BK23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16 BK13 BK9:BK11 BK24:BK802 BK18:BK21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26 BO28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O6:BO26 BO28:BO802" xr:uid="{CF5BD2D1-4803-40F6-BB29-FE7C2FA5583F}">
      <formula1>INDIRECT(BT6)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BN6:BN802 BO27" xr:uid="{88B2AA1F-3AB2-4B37-8132-5DEC08D79A48}">
      <formula1>INDIRECT(SUBSTITUTE(BM6,"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1367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104</v>
      </c>
      <c r="D3" s="186" t="s">
        <v>1368</v>
      </c>
      <c r="E3" s="186" t="s">
        <v>1369</v>
      </c>
      <c r="F3" s="186" t="s">
        <v>1370</v>
      </c>
      <c r="G3" s="186" t="s">
        <v>1371</v>
      </c>
      <c r="H3" s="186" t="s">
        <v>1372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1373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1374</v>
      </c>
      <c r="D12" s="187">
        <v>9049</v>
      </c>
      <c r="E12" s="188">
        <v>46044</v>
      </c>
      <c r="F12" s="190" t="s">
        <v>1375</v>
      </c>
      <c r="G12" s="187" t="s">
        <v>1376</v>
      </c>
      <c r="H12" s="187"/>
    </row>
    <row r="13" spans="3:8">
      <c r="C13" s="187" t="s">
        <v>1374</v>
      </c>
      <c r="D13" s="187">
        <v>9044</v>
      </c>
      <c r="E13" s="188">
        <v>46044</v>
      </c>
      <c r="F13" s="190" t="s">
        <v>1377</v>
      </c>
      <c r="G13" s="187" t="s">
        <v>1378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E1" workbookViewId="0">
      <selection activeCell="J914" sqref="J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1379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1380</v>
      </c>
      <c r="B2" s="91" t="s">
        <v>1381</v>
      </c>
      <c r="C2" s="91" t="s">
        <v>7</v>
      </c>
      <c r="D2" s="92" t="s">
        <v>1210</v>
      </c>
      <c r="E2" s="92" t="s">
        <v>365</v>
      </c>
      <c r="F2" s="92" t="s">
        <v>1382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1383</v>
      </c>
      <c r="T2" s="94" t="s">
        <v>1213</v>
      </c>
      <c r="U2" s="90">
        <f ca="1">TODAY()-1</f>
        <v>46056</v>
      </c>
      <c r="V2" s="90">
        <f ca="1">U2-1</f>
        <v>46055</v>
      </c>
      <c r="W2" s="90">
        <f ca="1">V2-1</f>
        <v>46054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0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>
        <f ca="1">_xlfn.XLOOKUP(G5&amp;$U$2,BS_CONTROLE[CHAVE],BS_CONTROLE[Quantidade_11],"-")</f>
        <v>1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1</v>
      </c>
      <c r="V8" s="98">
        <f ca="1">_xlfn.XLOOKUP(G8&amp;$V$2,BS_CONTROLE[CHAVE],BS_CONTROLE[Quantidade_11],"-")</f>
        <v>0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2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8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0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1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2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>
        <f ca="1">_xlfn.XLOOKUP(G23&amp;$U$2,BS_CONTROLE[CHAVE],BS_CONTROLE[Quantidade_11],"-")</f>
        <v>13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6">
        <f>IF(FN_MC!N32="","*",FN_MC!N32)</f>
        <v>699710</v>
      </c>
      <c r="M29" s="97">
        <f>IF(FN_MC!J32="","*",FN_MC!J32)</f>
        <v>98</v>
      </c>
      <c r="N29" s="183">
        <f>IF(FN_MC!K32="","*",FN_MC!K32)</f>
        <v>700</v>
      </c>
      <c r="O29" s="183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>
        <f>IF(FN_MC!B34="","*",FN_MC!B34)</f>
        <v>46057</v>
      </c>
      <c r="G31" s="96" t="str">
        <f>IF(FN_MC!D34="","*",FN_MC!D34)</f>
        <v>BRUNO (TF-525)</v>
      </c>
      <c r="H31" s="96" t="str">
        <f>IF(FN_MC!F34="","*",FN_MC!F34)</f>
        <v>PDM - SOLDA</v>
      </c>
      <c r="I31" s="96" t="str">
        <f>IF(FN_MC!H34="","*",FN_MC!H34)</f>
        <v>539TRM</v>
      </c>
      <c r="J31" s="96" t="str">
        <f>IF(FN_MC!I34="","*",FN_MC!I34)</f>
        <v>-</v>
      </c>
      <c r="K31" s="96" t="str">
        <f>IF(FN_MC!M34="","*",FN_MC!M34)</f>
        <v>TBE-TRM</v>
      </c>
      <c r="L31" s="196" t="str">
        <f>IF(FN_MC!N34="","*",FN_MC!N34)</f>
        <v>539TRM</v>
      </c>
      <c r="M31" s="97">
        <f>IF(FN_MC!J34="","*",FN_MC!J34)</f>
        <v>98</v>
      </c>
      <c r="N31" s="183">
        <f>IF(FN_MC!K34="","*",FN_MC!K34)</f>
        <v>548.14499999999998</v>
      </c>
      <c r="O31" s="183" t="str">
        <f>IF(FN_MC!L34="","*",FN_MC!L34)</f>
        <v>-</v>
      </c>
      <c r="P31" s="107">
        <f>IF(FN_MC!O34="","*",FN_MC!O34)</f>
        <v>0.375</v>
      </c>
      <c r="Q31" s="107">
        <f>IF(FN_MC!P34="","*",FN_MC!P34)</f>
        <v>0.125</v>
      </c>
      <c r="R31" s="96" t="str">
        <f>IF(FN_MC!Q34="","*",CONCATENATE(FN_MC!Q34," ",FN_MC!R34))</f>
        <v>2 Nº DE SOLDA</v>
      </c>
      <c r="S31" s="96" t="str">
        <f>IF(FN_MC!V34="","*",FN_MC!V34)</f>
        <v>Bruno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TGR-TRO</v>
      </c>
      <c r="F33" s="96">
        <f>IF(FN_MC!B36="","*",FN_MC!B36)</f>
        <v>46057</v>
      </c>
      <c r="G33" s="96" t="str">
        <f>IF(FN_MC!D36="","*",FN_MC!D36)</f>
        <v>E46</v>
      </c>
      <c r="H33" s="96" t="str">
        <f>IF(FN_MC!F36="","*",FN_MC!F36)</f>
        <v>DESLOCAMENTO</v>
      </c>
      <c r="I33" s="96" t="str">
        <f>IF(FN_MC!H36="","*",FN_MC!H36)</f>
        <v>TGR2</v>
      </c>
      <c r="J33" s="96" t="str">
        <f>IF(FN_MC!I36="","*",FN_MC!I36)</f>
        <v>TIN</v>
      </c>
      <c r="K33" s="96" t="str">
        <f>IF(FN_MC!M36="","*",FN_MC!M36)</f>
        <v>TGR-TIN</v>
      </c>
      <c r="L33" s="196" t="str">
        <f>IF(FN_MC!N36="","*",FN_MC!N36)</f>
        <v>TGRTIN</v>
      </c>
      <c r="M33" s="97">
        <f>IF(FN_MC!J36="","*",FN_MC!J36)</f>
        <v>98</v>
      </c>
      <c r="N33" s="183">
        <f>IF(FN_MC!K36="","*",FN_MC!K36)</f>
        <v>502</v>
      </c>
      <c r="O33" s="183">
        <f>IF(FN_MC!L36="","*",FN_MC!L36)</f>
        <v>109</v>
      </c>
      <c r="P33" s="107">
        <f>IF(FN_MC!O36="","*",FN_MC!O36)</f>
        <v>0.41666666666666669</v>
      </c>
      <c r="Q33" s="107">
        <f>IF(FN_MC!P36="","*",FN_MC!P36)</f>
        <v>4.1666666666666664E-2</v>
      </c>
      <c r="R33" s="96" t="str">
        <f>IF(FN_MC!Q36="","*",CONCATENATE(FN_MC!Q36," ",FN_MC!R36))</f>
        <v>1 BINÁRIO</v>
      </c>
      <c r="S33" s="96" t="str">
        <f>IF(FN_MC!V36="","*",FN_MC!V36)</f>
        <v xml:space="preserve">PCM </v>
      </c>
      <c r="T33" s="96" t="str">
        <f>IF(FN_MC!W36="","*",FN_MC!W36)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46057</v>
      </c>
      <c r="G35" s="96" t="str">
        <f>IF(FN_MC!D38="","*",FN_MC!D38)</f>
        <v>ELSON (TF-526)</v>
      </c>
      <c r="H35" s="96" t="str">
        <f>IF(FN_MC!F38="","*",FN_MC!F38)</f>
        <v>PDM - SOLDA</v>
      </c>
      <c r="I35" s="96" t="str">
        <f>IF(FN_MC!H38="","*",FN_MC!H38)</f>
        <v>499TGR1</v>
      </c>
      <c r="J35" s="96" t="str">
        <f>IF(FN_MC!I38="","*",FN_MC!I38)</f>
        <v>-</v>
      </c>
      <c r="K35" s="96" t="str">
        <f>IF(FN_MC!M38="","*",FN_MC!M38)</f>
        <v>TBR-TGR</v>
      </c>
      <c r="L35" s="196" t="str">
        <f>IF(FN_MC!N38="","*",FN_MC!N38)</f>
        <v>499TGR2</v>
      </c>
      <c r="M35" s="97">
        <f>IF(FN_MC!J38="","*",FN_MC!J38)</f>
        <v>74</v>
      </c>
      <c r="N35" s="183">
        <f>IF(FN_MC!K38="","*",FN_MC!K38)</f>
        <v>498.9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0.125</v>
      </c>
      <c r="R35" s="96" t="str">
        <f>IF(FN_MC!Q38="","*",CONCATENATE(FN_MC!Q38," ",FN_MC!R38))</f>
        <v>2 Nº DE SOLDA</v>
      </c>
      <c r="S35" s="96" t="str">
        <f>IF(FN_MC!V38="","*",FN_MC!V38)</f>
        <v>Bruno</v>
      </c>
      <c r="T35" s="96" t="str">
        <f>IF(FN_MC!W38="","*",FN_MC!W38)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OPORTUNIDADE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46057</v>
      </c>
      <c r="G36" s="96" t="str">
        <f>IF(FN_MC!D39="","*",FN_MC!D39)</f>
        <v>MARCOS (TF-520)</v>
      </c>
      <c r="H36" s="96" t="str">
        <f>IF(FN_MC!F39="","*",FN_MC!F39)</f>
        <v>PDM - SOLDA</v>
      </c>
      <c r="I36" s="96" t="str">
        <f>IF(FN_MC!H39="","*",FN_MC!H39)</f>
        <v>277TCS</v>
      </c>
      <c r="J36" s="96" t="str">
        <f>IF(FN_MC!I39="","*",FN_MC!I39)</f>
        <v>-</v>
      </c>
      <c r="K36" s="96" t="str">
        <f>IF(FN_MC!M39="","*",FN_MC!M39)</f>
        <v>TJA-TCS</v>
      </c>
      <c r="L36" s="196" t="str">
        <f>IF(FN_MC!N39="","*",FN_MC!N39)</f>
        <v>277TCS</v>
      </c>
      <c r="M36" s="97">
        <f>IF(FN_MC!J39="","*",FN_MC!J39)</f>
        <v>74</v>
      </c>
      <c r="N36" s="183">
        <f>IF(FN_MC!K39="","*",FN_MC!K39)</f>
        <v>280.5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0.125</v>
      </c>
      <c r="R36" s="96" t="str">
        <f>IF(FN_MC!Q39="","*",CONCATENATE(FN_MC!Q39," ",FN_MC!R39))</f>
        <v>2 Nº DE SOLDA</v>
      </c>
      <c r="S36" s="96" t="str">
        <f>IF(FN_MC!V39="","*",FN_MC!V39)</f>
        <v>Herbert</v>
      </c>
      <c r="T36" s="96" t="str">
        <f>IF(FN_MC!W39="","*",FN_MC!W39)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2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46057</v>
      </c>
      <c r="G38" s="96" t="str">
        <f>IF(FN_MC!D41="","*",FN_MC!D41)</f>
        <v>W50</v>
      </c>
      <c r="H38" s="96" t="str">
        <f>IF(FN_MC!F41="","*",FN_MC!F41)</f>
        <v>MODERNIZAÇÃO - RECOLHIMENTO DE DORMENTE</v>
      </c>
      <c r="I38" s="96" t="str">
        <f>IF(FN_MC!H41="","*",FN_MC!H41)</f>
        <v>TCS2</v>
      </c>
      <c r="J38" s="96" t="str">
        <f>IF(FN_MC!I41="","*",FN_MC!I41)</f>
        <v>TCS2</v>
      </c>
      <c r="K38" s="96" t="str">
        <f>IF(FN_MC!M41="","*",FN_MC!M41)</f>
        <v>TVI-TJA</v>
      </c>
      <c r="L38" s="196">
        <f>IF(FN_MC!N41="","*",FN_MC!N41)</f>
        <v>239251</v>
      </c>
      <c r="M38" s="97">
        <f>IF(FN_MC!J41="","*",FN_MC!J41)</f>
        <v>74</v>
      </c>
      <c r="N38" s="183">
        <f>IF(FN_MC!K41="","*",FN_MC!K41)</f>
        <v>245</v>
      </c>
      <c r="O38" s="183">
        <f>IF(FN_MC!L41="","*",FN_MC!L41)</f>
        <v>244.2</v>
      </c>
      <c r="P38" s="107">
        <f>IF(FN_MC!O41="","*",FN_MC!O41)</f>
        <v>0.35416666666666669</v>
      </c>
      <c r="Q38" s="107">
        <f>IF(FN_MC!P41="","*",FN_MC!P41)</f>
        <v>0.125</v>
      </c>
      <c r="R38" s="96" t="str">
        <f>IF(FN_MC!Q41="","*",CONCATENATE(FN_MC!Q41," ",FN_MC!R41))</f>
        <v>1000 Nº DE DORMENTES</v>
      </c>
      <c r="S38" s="96" t="str">
        <f>IF(FN_MC!V41="","*",FN_MC!V41)</f>
        <v>Augusto/ Efraim</v>
      </c>
      <c r="T38" s="96" t="str">
        <f>IF(FN_MC!W41="","*",FN_MC!W41)</f>
        <v>Recolhimento de dormentes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46057</v>
      </c>
      <c r="G41" s="96" t="str">
        <f>IF(FN_MC!D44="","*",FN_MC!D44)</f>
        <v>A60</v>
      </c>
      <c r="H41" s="96" t="str">
        <f>IF(FN_MC!F44="","*",FN_MC!F44)</f>
        <v>DETECÇÃO - RONDA 7 DIAS</v>
      </c>
      <c r="I41" s="96" t="str">
        <f>IF(FN_MC!H44="","*",FN_MC!H44)</f>
        <v>TMI</v>
      </c>
      <c r="J41" s="96" t="str">
        <f>IF(FN_MC!I44="","*",FN_MC!I44)</f>
        <v>TCS2</v>
      </c>
      <c r="K41" s="96" t="str">
        <f>IF(FN_MC!M44="","*",FN_MC!M44)</f>
        <v>TMI-TCS</v>
      </c>
      <c r="L41" s="196" t="str">
        <f>IF(FN_MC!N44="","*",FN_MC!N44)</f>
        <v>TMITCS</v>
      </c>
      <c r="M41" s="97">
        <f>IF(FN_MC!J44="","*",FN_MC!J44)</f>
        <v>74</v>
      </c>
      <c r="N41" s="183">
        <f>IF(FN_MC!K44="","*",FN_MC!K44)</f>
        <v>1</v>
      </c>
      <c r="O41" s="183">
        <f>IF(FN_MC!L44="","*",FN_MC!L44)</f>
        <v>291</v>
      </c>
      <c r="P41" s="107">
        <f>IF(FN_MC!O44="","*",FN_MC!O44)</f>
        <v>4.1666666666666664E-2</v>
      </c>
      <c r="Q41" s="107">
        <f>IF(FN_MC!P44="","*",FN_MC!P44)</f>
        <v>0.375</v>
      </c>
      <c r="R41" s="96" t="str">
        <f>IF(FN_MC!Q44="","*",CONCATENATE(FN_MC!Q44," ",FN_MC!R44))</f>
        <v>280 KM</v>
      </c>
      <c r="S41" s="96" t="str">
        <f>IF(FN_MC!V44="","*",FN_MC!V44)</f>
        <v>Herbert</v>
      </c>
      <c r="T41" s="96" t="str">
        <f>IF(FN_MC!W44="","*",FN_MC!W44)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POV-PRV</v>
      </c>
      <c r="F43" s="96">
        <f>IF(FN_MC!B46="","*",FN_MC!B46)</f>
        <v>46057</v>
      </c>
      <c r="G43" s="96" t="str">
        <f>IF(FN_MC!D46="","*",FN_MC!D46)</f>
        <v>A71</v>
      </c>
      <c r="H43" s="96" t="str">
        <f>IF(FN_MC!F46="","*",FN_MC!F46)</f>
        <v>OUTRAS ATIVIDADES</v>
      </c>
      <c r="I43" s="96" t="str">
        <f>IF(FN_MC!H46="","*",FN_MC!H46)</f>
        <v>PTRPNV</v>
      </c>
      <c r="J43" s="96" t="str">
        <f>IF(FN_MC!I46="","*",FN_MC!I46)</f>
        <v>POSPNV</v>
      </c>
      <c r="K43" s="96" t="str">
        <f>IF(FN_MC!M46="","*",FN_MC!M46)</f>
        <v>PNV-PTR</v>
      </c>
      <c r="L43" s="196" t="str">
        <f>IF(FN_MC!N46="","*",FN_MC!N46)</f>
        <v>PTRPNV</v>
      </c>
      <c r="M43" s="97">
        <f>IF(FN_MC!J46="","*",FN_MC!J46)</f>
        <v>103</v>
      </c>
      <c r="N43" s="183">
        <f>IF(FN_MC!K46="","*",FN_MC!K46)</f>
        <v>1585.5</v>
      </c>
      <c r="O43" s="183">
        <f>IF(FN_MC!L46="","*",FN_MC!L46)</f>
        <v>1533.5</v>
      </c>
      <c r="P43" s="107">
        <f>IF(FN_MC!O46="","*",FN_MC!O46)</f>
        <v>0.375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>Antonio Bezerra</v>
      </c>
      <c r="T43" s="96" t="str">
        <f>IF(FN_MC!W46="","*",FN_MC!W46)</f>
        <v>Troca de fixação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POV-PRV</v>
      </c>
      <c r="F44" s="96">
        <f>IF(FN_MC!B47="","*",FN_MC!B47)</f>
        <v>46057</v>
      </c>
      <c r="G44" s="96" t="str">
        <f>IF(FN_MC!D47="","*",FN_MC!D47)</f>
        <v>A17</v>
      </c>
      <c r="H44" s="96" t="str">
        <f>IF(FN_MC!F47="","*",FN_MC!F47)</f>
        <v>INFRAESTRUTURA</v>
      </c>
      <c r="I44" s="96" t="str">
        <f>IF(FN_MC!H47="","*",FN_MC!H47)</f>
        <v>PPGPTR</v>
      </c>
      <c r="J44" s="96" t="str">
        <f>IF(FN_MC!I47="","*",FN_MC!I47)</f>
        <v>PSGPAR</v>
      </c>
      <c r="K44" s="96" t="str">
        <f>IF(FN_MC!M47="","*",FN_MC!M47)</f>
        <v>PTR-PPG</v>
      </c>
      <c r="L44" s="196" t="str">
        <f>IF(FN_MC!N47="","*",FN_MC!N47)</f>
        <v>PPGPTR</v>
      </c>
      <c r="M44" s="97">
        <f>IF(FN_MC!J47="","*",FN_MC!J47)</f>
        <v>103</v>
      </c>
      <c r="N44" s="183">
        <f>IF(FN_MC!K47="","*",FN_MC!K47)</f>
        <v>1613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4.1666666666666664E-2</v>
      </c>
      <c r="R44" s="96" t="str">
        <f>IF(FN_MC!Q47="","*",CONCATENATE(FN_MC!Q47," ",FN_MC!R47))</f>
        <v>1 Nº DE ITENS</v>
      </c>
      <c r="S44" s="96" t="str">
        <f>IF(FN_MC!V47="","*",FN_MC!V47)</f>
        <v>Anotnio bezerra</v>
      </c>
      <c r="T44" s="96" t="str">
        <f>IF(FN_MC!W47="","*",FN_MC!W47)</f>
        <v>Inspeção da Infra</v>
      </c>
      <c r="U44" s="98">
        <f ca="1">_xlfn.XLOOKUP(G44&amp;$U$2,BS_CONTROLE[CHAVE],BS_CONTROLE[Quantidade_11],"-")</f>
        <v>1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4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1384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1385</v>
      </c>
      <c r="C4" s="191" t="s">
        <v>1386</v>
      </c>
      <c r="D4" s="191" t="s">
        <v>1387</v>
      </c>
      <c r="E4" s="191" t="s">
        <v>1388</v>
      </c>
      <c r="F4" s="191" t="s">
        <v>365</v>
      </c>
      <c r="G4" s="191" t="s">
        <v>1389</v>
      </c>
    </row>
    <row r="5" spans="2:7">
      <c r="B5" s="192" t="s">
        <v>1390</v>
      </c>
      <c r="C5" s="192">
        <v>309525</v>
      </c>
      <c r="D5" s="192" t="s">
        <v>1391</v>
      </c>
      <c r="E5" s="192" t="s">
        <v>249</v>
      </c>
      <c r="F5" s="192" t="s">
        <v>1392</v>
      </c>
      <c r="G5" s="193">
        <v>46296</v>
      </c>
    </row>
    <row r="6" spans="2:7">
      <c r="B6" s="192" t="s">
        <v>1393</v>
      </c>
      <c r="C6" s="192">
        <v>257410</v>
      </c>
      <c r="D6" s="192" t="s">
        <v>1394</v>
      </c>
      <c r="E6" s="192" t="s">
        <v>249</v>
      </c>
      <c r="F6" s="192" t="s">
        <v>1392</v>
      </c>
      <c r="G6" s="193"/>
    </row>
    <row r="7" spans="2:7">
      <c r="B7" s="192" t="s">
        <v>1395</v>
      </c>
      <c r="C7" s="192">
        <v>256875</v>
      </c>
      <c r="D7" s="192" t="s">
        <v>1396</v>
      </c>
      <c r="E7" s="192" t="s">
        <v>249</v>
      </c>
      <c r="F7" s="192" t="s">
        <v>1392</v>
      </c>
      <c r="G7" s="193">
        <v>46296</v>
      </c>
    </row>
    <row r="8" spans="2:7">
      <c r="B8" s="192" t="s">
        <v>1397</v>
      </c>
      <c r="C8" s="192">
        <v>257278</v>
      </c>
      <c r="D8" s="192" t="s">
        <v>1398</v>
      </c>
      <c r="E8" s="192" t="s">
        <v>240</v>
      </c>
      <c r="F8" s="192" t="s">
        <v>1399</v>
      </c>
      <c r="G8" s="193">
        <v>46235</v>
      </c>
    </row>
    <row r="9" spans="2:7">
      <c r="B9" s="192" t="s">
        <v>1400</v>
      </c>
      <c r="C9" s="192">
        <v>261794</v>
      </c>
      <c r="D9" s="192" t="s">
        <v>1401</v>
      </c>
      <c r="E9" s="192" t="s">
        <v>240</v>
      </c>
      <c r="F9" s="192" t="s">
        <v>1399</v>
      </c>
      <c r="G9" s="193">
        <v>46082</v>
      </c>
    </row>
    <row r="10" spans="2:7">
      <c r="B10" s="192" t="s">
        <v>1402</v>
      </c>
      <c r="C10" s="192">
        <v>257033</v>
      </c>
      <c r="D10" s="192" t="s">
        <v>1403</v>
      </c>
      <c r="E10" s="192" t="s">
        <v>240</v>
      </c>
      <c r="F10" s="192" t="s">
        <v>479</v>
      </c>
      <c r="G10" s="192" t="s">
        <v>1404</v>
      </c>
    </row>
    <row r="11" spans="2:7">
      <c r="B11" s="192" t="s">
        <v>1405</v>
      </c>
      <c r="C11" s="192">
        <v>396578</v>
      </c>
      <c r="D11" s="192" t="s">
        <v>1406</v>
      </c>
      <c r="E11" s="192" t="s">
        <v>240</v>
      </c>
      <c r="F11" s="192" t="s">
        <v>479</v>
      </c>
      <c r="G11" s="192" t="s">
        <v>1404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3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1407</v>
      </c>
      <c r="C2" s="83" t="s">
        <v>1195</v>
      </c>
      <c r="D2" s="83" t="s">
        <v>1197</v>
      </c>
      <c r="E2" s="83" t="s">
        <v>1408</v>
      </c>
      <c r="F2" s="83" t="s">
        <v>1409</v>
      </c>
      <c r="G2" s="83" t="s">
        <v>1410</v>
      </c>
      <c r="H2" s="83" t="s">
        <v>1411</v>
      </c>
      <c r="I2" s="83" t="s">
        <v>1412</v>
      </c>
      <c r="J2" s="83" t="s">
        <v>1413</v>
      </c>
      <c r="K2" s="109" t="s">
        <v>1414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46057</v>
      </c>
      <c r="D27" s="101" t="str">
        <f>IF(FN_MC!D32="","*",FN_MC!D32)</f>
        <v>W70</v>
      </c>
      <c r="E27" s="101" t="str">
        <f>IF(FN_MC!H32="","*",FN_MC!H32)</f>
        <v>TIQ2</v>
      </c>
      <c r="F27" s="114" t="str">
        <f>IF(FN_MC!M32="","*",FN_MC!M32)</f>
        <v>TAL-TSF</v>
      </c>
      <c r="G27" s="101" t="str">
        <f>IF(FN_MC!I32="","*",FN_MC!I32)</f>
        <v>TGR2</v>
      </c>
      <c r="H27" s="101" t="str">
        <f>IF(FN_MC!AB32="","*",FN_MC!AB32)</f>
        <v>FIXO</v>
      </c>
      <c r="I27" s="101" t="str">
        <f>IF(FN_MC!AC32="","*",FN_MC!AC32)</f>
        <v>*</v>
      </c>
      <c r="J27" s="102" t="str">
        <f>IF(FN_MC!AA32="","*",FN_MC!AA32)</f>
        <v>2 (Kleyton e Tiago)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BRUNO (TF-525)</v>
      </c>
      <c r="E29" s="101" t="str">
        <f>IF(FN_MC!H34="","*",FN_MC!H34)</f>
        <v>539TRM</v>
      </c>
      <c r="F29" s="114" t="str">
        <f>IF(FN_MC!M34="","*",FN_MC!M34)</f>
        <v>TBE-TRM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E46</v>
      </c>
      <c r="E31" s="101" t="str">
        <f>IF(FN_MC!H36="","*",FN_MC!H36)</f>
        <v>TGR2</v>
      </c>
      <c r="F31" s="114" t="str">
        <f>IF(FN_MC!M36="","*",FN_MC!M36)</f>
        <v>TGR-TIN</v>
      </c>
      <c r="G31" s="101" t="str">
        <f>IF(FN_MC!I36="","*",FN_MC!I36)</f>
        <v>TIN</v>
      </c>
      <c r="H31" s="101" t="str">
        <f>IF(FN_MC!AB36="","*",FN_MC!AB36)</f>
        <v>ESCALA</v>
      </c>
      <c r="I31" s="101" t="str">
        <f>IF(FN_MC!AC36="","*",FN_MC!AC36)</f>
        <v>*</v>
      </c>
      <c r="J31" s="102">
        <f>IF(FN_MC!AA36="","*",FN_MC!AA36)</f>
        <v>2</v>
      </c>
      <c r="K31" s="112">
        <f>IF(FN_MC!AD36="","*",FN_MC!AD36)</f>
        <v>0.29166666666666669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>ELSON (TF-526)</v>
      </c>
      <c r="E33" s="101" t="str">
        <f>IF(FN_MC!H38="","*",FN_MC!H38)</f>
        <v>499TGR1</v>
      </c>
      <c r="F33" s="114" t="str">
        <f>IF(FN_MC!M38="","*",FN_MC!M38)</f>
        <v>TBR-TGR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OPORTUNIDADE</v>
      </c>
      <c r="C34" s="101">
        <f>IF(FN_MC!B39="","*",FN_MC!B39)</f>
        <v>46057</v>
      </c>
      <c r="D34" s="101" t="str">
        <f>IF(FN_MC!D39="","*",FN_MC!D39)</f>
        <v>MARCOS (TF-520)</v>
      </c>
      <c r="E34" s="101" t="str">
        <f>IF(FN_MC!H39="","*",FN_MC!H39)</f>
        <v>277TCS</v>
      </c>
      <c r="F34" s="114" t="str">
        <f>IF(FN_MC!M39="","*",FN_MC!M39)</f>
        <v>TJA-TCS</v>
      </c>
      <c r="G34" s="101" t="str">
        <f>IF(FN_MC!I39="","*",FN_MC!I39)</f>
        <v>-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-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OPORTUNIDADE</v>
      </c>
      <c r="C36" s="101">
        <f>IF(FN_MC!B41="","*",FN_MC!B41)</f>
        <v>46057</v>
      </c>
      <c r="D36" s="101" t="str">
        <f>IF(FN_MC!D41="","*",FN_MC!D41)</f>
        <v>W50</v>
      </c>
      <c r="E36" s="101" t="str">
        <f>IF(FN_MC!H41="","*",FN_MC!H41)</f>
        <v>TCS2</v>
      </c>
      <c r="F36" s="114" t="str">
        <f>IF(FN_MC!M41="","*",FN_MC!M41)</f>
        <v>TVI-TJA</v>
      </c>
      <c r="G36" s="101" t="str">
        <f>IF(FN_MC!I41="","*",FN_MC!I41)</f>
        <v>TCS2</v>
      </c>
      <c r="H36" s="101" t="str">
        <f>IF(FN_MC!AB41="","*",FN_MC!AB41)</f>
        <v>FIXO</v>
      </c>
      <c r="I36" s="101" t="str">
        <f>IF(FN_MC!AC41="","*",FN_MC!AC41)</f>
        <v>*</v>
      </c>
      <c r="J36" s="102" t="str">
        <f>IF(FN_MC!AA41="","*",FN_MC!AA41)</f>
        <v>2 (Eder e Maicon)</v>
      </c>
      <c r="K36" s="112">
        <f>IF(FN_MC!AD41="","*",FN_MC!AD41)</f>
        <v>0.29166666666666669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OPORTUNIDADE</v>
      </c>
      <c r="C39" s="101">
        <f>IF(FN_MC!B44="","*",FN_MC!B44)</f>
        <v>46057</v>
      </c>
      <c r="D39" s="101" t="str">
        <f>IF(FN_MC!D44="","*",FN_MC!D44)</f>
        <v>A60</v>
      </c>
      <c r="E39" s="101" t="str">
        <f>IF(FN_MC!H44="","*",FN_MC!H44)</f>
        <v>TMI</v>
      </c>
      <c r="F39" s="114" t="str">
        <f>IF(FN_MC!M44="","*",FN_MC!M44)</f>
        <v>TMI-TCS</v>
      </c>
      <c r="G39" s="101" t="str">
        <f>IF(FN_MC!I44="","*",FN_MC!I44)</f>
        <v>TCS2</v>
      </c>
      <c r="H39" s="101" t="str">
        <f>IF(FN_MC!AB44="","*",FN_MC!AB44)</f>
        <v>FIXO</v>
      </c>
      <c r="I39" s="101" t="str">
        <f>IF(FN_MC!AC44="","*",FN_MC!AC44)</f>
        <v>*</v>
      </c>
      <c r="J39" s="102">
        <f>IF(FN_MC!AA44="","*",FN_MC!AA44)</f>
        <v>1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>
        <f>IF(FN_MC!B46="","*",FN_MC!B46)</f>
        <v>46057</v>
      </c>
      <c r="D41" s="101" t="str">
        <f>IF(FN_MC!D46="","*",FN_MC!D46)</f>
        <v>A71</v>
      </c>
      <c r="E41" s="101" t="str">
        <f>IF(FN_MC!H46="","*",FN_MC!H46)</f>
        <v>PTRPNV</v>
      </c>
      <c r="F41" s="114" t="str">
        <f>IF(FN_MC!M46="","*",FN_MC!M46)</f>
        <v>PNV-PTR</v>
      </c>
      <c r="G41" s="101" t="str">
        <f>IF(FN_MC!I46="","*",FN_MC!I46)</f>
        <v>POSPNV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>
        <f>IF(FN_MC!B47="","*",FN_MC!B47)</f>
        <v>46057</v>
      </c>
      <c r="D42" s="101" t="str">
        <f>IF(FN_MC!D47="","*",FN_MC!D47)</f>
        <v>A17</v>
      </c>
      <c r="E42" s="101" t="str">
        <f>IF(FN_MC!H47="","*",FN_MC!H47)</f>
        <v>PPGPTR</v>
      </c>
      <c r="F42" s="114" t="str">
        <f>IF(FN_MC!M47="","*",FN_MC!M47)</f>
        <v>PTR-PPG</v>
      </c>
      <c r="G42" s="101" t="str">
        <f>IF(FN_MC!I47="","*",FN_MC!I47)</f>
        <v>PSGPAR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1415</v>
      </c>
      <c r="D5" s="265"/>
      <c r="E5" s="265"/>
      <c r="F5" s="265"/>
      <c r="G5" s="265"/>
      <c r="H5" s="265"/>
      <c r="I5" s="265"/>
      <c r="J5" s="266"/>
      <c r="K5" s="267" t="s">
        <v>1416</v>
      </c>
      <c r="L5" s="268"/>
      <c r="M5" s="268"/>
      <c r="N5" s="268"/>
      <c r="O5" s="269" t="s">
        <v>1417</v>
      </c>
      <c r="P5" s="270"/>
      <c r="Q5" s="271"/>
    </row>
    <row r="6" spans="1:17" s="81" customFormat="1" ht="15.75" customHeight="1">
      <c r="A6" s="75" t="s">
        <v>1382</v>
      </c>
      <c r="B6" s="82" t="s">
        <v>1381</v>
      </c>
      <c r="C6" s="83" t="s">
        <v>1210</v>
      </c>
      <c r="D6" s="84" t="s">
        <v>1211</v>
      </c>
      <c r="E6" s="83" t="s">
        <v>1418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1419</v>
      </c>
      <c r="M6" s="116" t="s">
        <v>29</v>
      </c>
      <c r="N6" s="117" t="s">
        <v>1205</v>
      </c>
      <c r="O6" s="165" t="s">
        <v>1248</v>
      </c>
      <c r="P6" s="128"/>
      <c r="Q6" s="139" t="s">
        <v>1420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>
        <f>IF(FN_MC!B32="","*",FN_MC!B32)</f>
        <v>46057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6">
        <f>FN_MC!BH32</f>
        <v>1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>
        <f>IF(FN_MC!B34="","*",FN_MC!B34)</f>
        <v>46057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BRUNO (TF-525)</v>
      </c>
      <c r="F33" s="87" t="str">
        <f>IF(FN_MC!H34="","*",FN_MC!H34)</f>
        <v>539TRM</v>
      </c>
      <c r="G33" s="87" t="str">
        <f>IF(FN_MC!M34="","*",FN_MC!M34)</f>
        <v>TBE-TRM</v>
      </c>
      <c r="H33" s="125">
        <f>IF(FN_MC!K34="","*",FN_MC!K34)</f>
        <v>548.14499999999998</v>
      </c>
      <c r="I33" s="110">
        <f>IF(FN_MC!O34="","*",FN_MC!O34)</f>
        <v>0.375</v>
      </c>
      <c r="J33" s="110">
        <f>IF(FN_MC!P34="","*",FN_MC!P34)</f>
        <v>0.125</v>
      </c>
      <c r="K33" s="118" t="str">
        <f>IF(FN_MC!AK34="","*",FN_MC!AK34)</f>
        <v>539TRM</v>
      </c>
      <c r="L33" s="118" t="str">
        <f>IF(FN_MC!AM34="","*",FN_MC!AM34)</f>
        <v>TBE-TRM</v>
      </c>
      <c r="M33" s="118">
        <f>IF(FN_MC!AP34="","*",FN_MC!AP34)</f>
        <v>548.14499999999998</v>
      </c>
      <c r="N33" s="118" t="str">
        <f>IF(FN_MC!AM34="","*",FN_MC!AM34)</f>
        <v>TBE-TRM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>
        <f>IF(FN_MC!B36="","*",FN_MC!B36)</f>
        <v>46057</v>
      </c>
      <c r="B35" s="86" t="str">
        <f>IF(FN_MC!X36="","*",FN_MC!X36)</f>
        <v>Oportunidade</v>
      </c>
      <c r="C35" s="87" t="str">
        <f>IF(FN_MC!S36="","*",FN_MC!S36)</f>
        <v>FERRONORTE</v>
      </c>
      <c r="D35" s="87" t="str">
        <f>IF(FN_MC!T36="","*",FN_MC!T36)</f>
        <v>TGR-TRO</v>
      </c>
      <c r="E35" s="87" t="str">
        <f>IF(FN_MC!D36="","*",FN_MC!D36)</f>
        <v>E46</v>
      </c>
      <c r="F35" s="87" t="str">
        <f>IF(FN_MC!H36="","*",FN_MC!H36)</f>
        <v>TGR2</v>
      </c>
      <c r="G35" s="87" t="str">
        <f>IF(FN_MC!M36="","*",FN_MC!M36)</f>
        <v>TGR-TIN</v>
      </c>
      <c r="H35" s="125">
        <f>IF(FN_MC!K36="","*",FN_MC!K36)</f>
        <v>502</v>
      </c>
      <c r="I35" s="110">
        <f>IF(FN_MC!O36="","*",FN_MC!O36)</f>
        <v>0.41666666666666669</v>
      </c>
      <c r="J35" s="110">
        <f>IF(FN_MC!P36="","*",FN_MC!P36)</f>
        <v>4.1666666666666664E-2</v>
      </c>
      <c r="K35" s="118" t="str">
        <f>IF(FN_MC!AK36="","*",FN_MC!AK36)</f>
        <v>TGR2</v>
      </c>
      <c r="L35" s="118" t="str">
        <f>IF(FN_MC!AM36="","*",FN_MC!AM36)</f>
        <v>TGR-TIN</v>
      </c>
      <c r="M35" s="118">
        <f>IF(FN_MC!AP36="","*",FN_MC!AP36)</f>
        <v>502</v>
      </c>
      <c r="N35" s="118" t="str">
        <f>IF(FN_MC!AM36="","*",FN_MC!AM36)</f>
        <v>TGR-TIN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>
        <f>IF(FN_MC!B38="","*",FN_MC!B38)</f>
        <v>46057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ELSON (TF-526)</v>
      </c>
      <c r="F37" s="87" t="str">
        <f>IF(FN_MC!H38="","*",FN_MC!H38)</f>
        <v>499TGR1</v>
      </c>
      <c r="G37" s="87" t="str">
        <f>IF(FN_MC!M38="","*",FN_MC!M38)</f>
        <v>TBR-TGR</v>
      </c>
      <c r="H37" s="125">
        <f>IF(FN_MC!K38="","*",FN_MC!K38)</f>
        <v>498.9</v>
      </c>
      <c r="I37" s="110">
        <f>IF(FN_MC!O38="","*",FN_MC!O38)</f>
        <v>0.41666666666666669</v>
      </c>
      <c r="J37" s="110">
        <f>IF(FN_MC!P38="","*",FN_MC!P38)</f>
        <v>0.125</v>
      </c>
      <c r="K37" s="118" t="str">
        <f>IF(FN_MC!AK38="","*",FN_MC!AK38)</f>
        <v>499TGR1</v>
      </c>
      <c r="L37" s="118" t="str">
        <f>IF(FN_MC!AM38="","*",FN_MC!AM38)</f>
        <v>TBR-TGR</v>
      </c>
      <c r="M37" s="118">
        <f>IF(FN_MC!AP38="","*",FN_MC!AP38)</f>
        <v>498.9</v>
      </c>
      <c r="N37" s="118" t="str">
        <f>IF(FN_MC!AM38="","*",FN_MC!AM38)</f>
        <v>TBR-TGR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>
        <f>IF(FN_MC!B39="","*",FN_MC!B39)</f>
        <v>46057</v>
      </c>
      <c r="B38" s="86" t="str">
        <f>IF(FN_MC!X39="","*",FN_MC!X39)</f>
        <v>Oportunidade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MARCOS (TF-520)</v>
      </c>
      <c r="F38" s="87" t="str">
        <f>IF(FN_MC!H39="","*",FN_MC!H39)</f>
        <v>277TCS</v>
      </c>
      <c r="G38" s="87" t="str">
        <f>IF(FN_MC!M39="","*",FN_MC!M39)</f>
        <v>TJA-TCS</v>
      </c>
      <c r="H38" s="125">
        <f>IF(FN_MC!K39="","*",FN_MC!K39)</f>
        <v>280.5</v>
      </c>
      <c r="I38" s="110">
        <f>IF(FN_MC!O39="","*",FN_MC!O39)</f>
        <v>0.375</v>
      </c>
      <c r="J38" s="110">
        <f>IF(FN_MC!P39="","*",FN_MC!P39)</f>
        <v>0.125</v>
      </c>
      <c r="K38" s="118" t="str">
        <f>IF(FN_MC!AK39="","*",FN_MC!AK39)</f>
        <v>277TCS</v>
      </c>
      <c r="L38" s="118" t="str">
        <f>IF(FN_MC!AM39="","*",FN_MC!AM39)</f>
        <v>TJA-TCS</v>
      </c>
      <c r="M38" s="118">
        <f>IF(FN_MC!AP39="","*",FN_MC!AP39)</f>
        <v>280.5</v>
      </c>
      <c r="N38" s="118" t="str">
        <f>IF(FN_MC!AM39="","*",FN_MC!AM39)</f>
        <v>TJA-TCS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>
        <f>IF(FN_MC!B41="","*",FN_MC!B41)</f>
        <v>46057</v>
      </c>
      <c r="B40" s="86" t="str">
        <f>IF(FN_MC!X41="","*",FN_MC!X41)</f>
        <v>Oportunidade</v>
      </c>
      <c r="C40" s="87" t="str">
        <f>IF(FN_MC!S41="","*",FN_MC!S41)</f>
        <v>FERRONORTE</v>
      </c>
      <c r="D40" s="87" t="str">
        <f>IF(FN_MC!T41="","*",FN_MC!T41)</f>
        <v>TMI-TCS</v>
      </c>
      <c r="E40" s="87" t="str">
        <f>IF(FN_MC!D41="","*",FN_MC!D41)</f>
        <v>W50</v>
      </c>
      <c r="F40" s="87" t="str">
        <f>IF(FN_MC!H41="","*",FN_MC!H41)</f>
        <v>TCS2</v>
      </c>
      <c r="G40" s="87" t="str">
        <f>IF(FN_MC!M41="","*",FN_MC!M41)</f>
        <v>TVI-TJA</v>
      </c>
      <c r="H40" s="125">
        <f>IF(FN_MC!K41="","*",FN_MC!K41)</f>
        <v>245</v>
      </c>
      <c r="I40" s="110">
        <f>IF(FN_MC!O41="","*",FN_MC!O41)</f>
        <v>0.35416666666666669</v>
      </c>
      <c r="J40" s="110">
        <f>IF(FN_MC!P41="","*",FN_MC!P41)</f>
        <v>0.125</v>
      </c>
      <c r="K40" s="118" t="str">
        <f>IF(FN_MC!AK41="","*",FN_MC!AK41)</f>
        <v>TCS2</v>
      </c>
      <c r="L40" s="118" t="str">
        <f>IF(FN_MC!AM41="","*",FN_MC!AM41)</f>
        <v>TVI-TJA</v>
      </c>
      <c r="M40" s="118">
        <f>IF(FN_MC!AP41="","*",FN_MC!AP41)</f>
        <v>245</v>
      </c>
      <c r="N40" s="118" t="str">
        <f>IF(FN_MC!AM41="","*",FN_MC!AM41)</f>
        <v>TVI-TJA</v>
      </c>
      <c r="O40" s="136">
        <f>FN_MC!BH41</f>
        <v>1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>
        <f>IF(FN_MC!B44="","*",FN_MC!B44)</f>
        <v>46057</v>
      </c>
      <c r="B43" s="86" t="str">
        <f>IF(FN_MC!X44="","*",FN_MC!X44)</f>
        <v>Oportunidade</v>
      </c>
      <c r="C43" s="87" t="str">
        <f>IF(FN_MC!S44="","*",FN_MC!S44)</f>
        <v>FERRONORTE</v>
      </c>
      <c r="D43" s="87" t="str">
        <f>IF(FN_MC!T44="","*",FN_MC!T44)</f>
        <v>TMI-TCS</v>
      </c>
      <c r="E43" s="87" t="str">
        <f>IF(FN_MC!D44="","*",FN_MC!D44)</f>
        <v>A60</v>
      </c>
      <c r="F43" s="87" t="str">
        <f>IF(FN_MC!H44="","*",FN_MC!H44)</f>
        <v>TMI</v>
      </c>
      <c r="G43" s="87" t="str">
        <f>IF(FN_MC!M44="","*",FN_MC!M44)</f>
        <v>TMI-TCS</v>
      </c>
      <c r="H43" s="125">
        <f>IF(FN_MC!K44="","*",FN_MC!K44)</f>
        <v>1</v>
      </c>
      <c r="I43" s="110">
        <f>IF(FN_MC!O44="","*",FN_MC!O44)</f>
        <v>4.1666666666666664E-2</v>
      </c>
      <c r="J43" s="110">
        <f>IF(FN_MC!P44="","*",FN_MC!P44)</f>
        <v>0.375</v>
      </c>
      <c r="K43" s="118" t="str">
        <f>IF(FN_MC!AK44="","*",FN_MC!AK44)</f>
        <v>TMI</v>
      </c>
      <c r="L43" s="118" t="str">
        <f>IF(FN_MC!AM44="","*",FN_MC!AM44)</f>
        <v>TMI-TCS</v>
      </c>
      <c r="M43" s="118">
        <f>IF(FN_MC!AP44="","*",FN_MC!AP44)</f>
        <v>1</v>
      </c>
      <c r="N43" s="118" t="str">
        <f>IF(FN_MC!AM44="","*",FN_MC!AM44)</f>
        <v>TMI-TCS</v>
      </c>
      <c r="O43" s="136">
        <f>FN_MC!BH44</f>
        <v>1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>
        <f>IF(FN_MC!B46="","*",FN_MC!B46)</f>
        <v>46057</v>
      </c>
      <c r="B45" s="86" t="str">
        <f>IF(FN_MC!X46="","*",FN_MC!X46)</f>
        <v>Oportunidade</v>
      </c>
      <c r="C45" s="87" t="str">
        <f>IF(FN_MC!S46="","*",FN_MC!S46)</f>
        <v>MALHA CENTRAL</v>
      </c>
      <c r="D45" s="87" t="str">
        <f>IF(FN_MC!T46="","*",FN_MC!T46)</f>
        <v>POV-PRV</v>
      </c>
      <c r="E45" s="87" t="str">
        <f>IF(FN_MC!D46="","*",FN_MC!D46)</f>
        <v>A71</v>
      </c>
      <c r="F45" s="87" t="str">
        <f>IF(FN_MC!H46="","*",FN_MC!H46)</f>
        <v>PTRPNV</v>
      </c>
      <c r="G45" s="87" t="str">
        <f>IF(FN_MC!M46="","*",FN_MC!M46)</f>
        <v>PNV-PTR</v>
      </c>
      <c r="H45" s="125">
        <f>IF(FN_MC!K46="","*",FN_MC!K46)</f>
        <v>1585.5</v>
      </c>
      <c r="I45" s="110">
        <f>IF(FN_MC!O46="","*",FN_MC!O46)</f>
        <v>0.375</v>
      </c>
      <c r="J45" s="110">
        <f>IF(FN_MC!P46="","*",FN_MC!P46)</f>
        <v>4.1666666666666664E-2</v>
      </c>
      <c r="K45" s="118" t="str">
        <f>IF(FN_MC!AK46="","*",FN_MC!AK46)</f>
        <v>PTRPNV</v>
      </c>
      <c r="L45" s="118" t="str">
        <f>IF(FN_MC!AM46="","*",FN_MC!AM46)</f>
        <v>PNV-PTR</v>
      </c>
      <c r="M45" s="118">
        <f>IF(FN_MC!AP46="","*",FN_MC!AP46)</f>
        <v>1585.5</v>
      </c>
      <c r="N45" s="118" t="str">
        <f>IF(FN_MC!AM46="","*",FN_MC!AM46)</f>
        <v>PNV-PTR</v>
      </c>
      <c r="O45" s="136">
        <f>FN_MC!BH46</f>
        <v>1</v>
      </c>
      <c r="P45" s="78"/>
      <c r="Q45" s="120" t="str">
        <f>IF($A$2=1,IF(FN_MC!BJ46="","*",FN_MC!BJ46),IF(FN_MC!BK46="","*",FN_MC!BK46))</f>
        <v>*</v>
      </c>
    </row>
    <row r="46" spans="1:17">
      <c r="A46" s="85">
        <f>IF(FN_MC!B47="","*",FN_MC!B47)</f>
        <v>46057</v>
      </c>
      <c r="B46" s="86" t="str">
        <f>IF(FN_MC!X47="","*",FN_MC!X47)</f>
        <v>Oportunidade</v>
      </c>
      <c r="C46" s="87" t="str">
        <f>IF(FN_MC!S47="","*",FN_MC!S47)</f>
        <v>MALHA CENTRAL</v>
      </c>
      <c r="D46" s="87" t="str">
        <f>IF(FN_MC!T47="","*",FN_MC!T47)</f>
        <v>POV-PRV</v>
      </c>
      <c r="E46" s="87" t="str">
        <f>IF(FN_MC!D47="","*",FN_MC!D47)</f>
        <v>A17</v>
      </c>
      <c r="F46" s="87" t="str">
        <f>IF(FN_MC!H47="","*",FN_MC!H47)</f>
        <v>PPGPTR</v>
      </c>
      <c r="G46" s="87" t="str">
        <f>IF(FN_MC!M47="","*",FN_MC!M47)</f>
        <v>PTR-PPG</v>
      </c>
      <c r="H46" s="125">
        <f>IF(FN_MC!K47="","*",FN_MC!K47)</f>
        <v>1613</v>
      </c>
      <c r="I46" s="110">
        <f>IF(FN_MC!O47="","*",FN_MC!O47)</f>
        <v>0.375</v>
      </c>
      <c r="J46" s="110">
        <f>IF(FN_MC!P47="","*",FN_MC!P47)</f>
        <v>4.1666666666666664E-2</v>
      </c>
      <c r="K46" s="118" t="str">
        <f>IF(FN_MC!AK47="","*",FN_MC!AK47)</f>
        <v>PPGPTR</v>
      </c>
      <c r="L46" s="118" t="str">
        <f>IF(FN_MC!AM47="","*",FN_MC!AM47)</f>
        <v>PTR-PPG</v>
      </c>
      <c r="M46" s="118">
        <f>IF(FN_MC!AP47="","*",FN_MC!AP47)</f>
        <v>1613</v>
      </c>
      <c r="N46" s="118" t="str">
        <f>IF(FN_MC!AM47="","*",FN_MC!AM47)</f>
        <v>PTR-PPG</v>
      </c>
      <c r="O46" s="136">
        <f>FN_MC!BH47</f>
        <v>1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2026-02-04T14:25:57Z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