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14" documentId="120_S{118792C3-22EF-5104-A093-F22BFE3913F3}" xr6:coauthVersionLast="47" xr6:coauthVersionMax="47" xr10:uidLastSave="{60ABBFE6-045F-411A-B026-AFC3087FD61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1" i="1" l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M92" i="1" a="1"/>
  <c r="M92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L77" i="15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L78" i="15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K83" i="15"/>
  <c r="L83" i="15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L88" i="15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L92" i="15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L97" i="15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L98" i="15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19" i="1" l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<sst xmlns="http://schemas.openxmlformats.org/spreadsheetml/2006/main" count="4016" uniqueCount="1208">
  <si>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</si>
  <si>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</si>
  <si>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</si>
  <si>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</si>
  <si>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</si>
  <si>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</si>
  <si>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</si>
  <si>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</si>
  <si>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</si>
  <si>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</si>
  <si>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</si>
  <si>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</si>
  <si>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</si>
  <si>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</si>
  <si>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</si>
  <si>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</si>
  <si>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</si>
  <si>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</si>
  <si>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</si>
  <si>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</si>
  <si>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</si>
  <si>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</si>
  <si>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</si>
  <si>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</si>
  <si>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</si>
  <si>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</si>
  <si>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</si>
  <si>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</si>
  <si>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</si>
  <si>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</si>
  <si>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</si>
  <si>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</si>
  <si>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</si>
  <si>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</si>
  <si>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</si>
  <si>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</si>
  <si>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</si>
  <si>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</si>
  <si>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</si>
  <si>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</si>
  <si>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</si>
  <si>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</si>
  <si>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</si>
  <si>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</si>
  <si>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</si>
  <si>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</si>
  <si>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</si>
  <si>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</si>
  <si>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</si>
  <si>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</si>
  <si>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</si>
  <si>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</si>
  <si>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</si>
  <si>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</si>
  <si>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</si>
  <si>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</si>
  <si>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</si>
  <si>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</si>
  <si>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</si>
  <si>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</si>
  <si>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</si>
  <si>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</si>
  <si>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</si>
  <si>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</si>
  <si>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</si>
  <si>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</si>
  <si>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</si>
  <si>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</si>
  <si>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</si>
  <si>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</si>
  <si>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</si>
  <si>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</si>
  <si>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</si>
  <si>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</si>
  <si>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</si>
  <si>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</si>
  <si>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</si>
  <si>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</si>
  <si>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</si>
  <si>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</si>
  <si>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</si>
  <si>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</si>
  <si>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</si>
  <si>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</si>
  <si>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</si>
  <si>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</si>
  <si>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</si>
  <si>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</si>
  <si>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</si>
  <si>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</si>
  <si>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</si>
  <si>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</si>
  <si>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</si>
  <si>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</si>
  <si>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</si>
  <si>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</si>
  <si>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</si>
  <si>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</si>
  <si>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</si>
  <si>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</si>
  <si>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</si>
  <si>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</si>
  <si>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</si>
  <si>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</si>
  <si>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</si>
  <si>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</si>
  <si>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</si>
  <si>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</si>
  <si>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</si>
  <si>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</si>
  <si>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</si>
  <si>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</si>
  <si>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</si>
  <si>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</si>
  <si>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</si>
  <si>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</si>
  <si>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</si>
  <si>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</si>
  <si>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</si>
  <si>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</si>
  <si>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</si>
  <si>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</si>
  <si>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</si>
  <si>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</si>
  <si>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</si>
  <si>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</si>
  <si>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</si>
  <si>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</si>
  <si>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</si>
  <si>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</si>
  <si>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</si>
  <si>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</si>
  <si>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</si>
  <si>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</si>
  <si>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</si>
  <si>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</si>
  <si>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</si>
  <si>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</si>
  <si>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</si>
  <si>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</si>
  <si>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</si>
  <si>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</si>
  <si>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</si>
  <si>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</si>
  <si>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</si>
  <si>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</si>
  <si>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</si>
  <si>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</si>
  <si>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</si>
  <si>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</si>
  <si>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</si>
  <si>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</si>
  <si>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</si>
  <si>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</si>
  <si>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</si>
  <si>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</si>
  <si>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</si>
  <si>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</si>
  <si>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</si>
  <si>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</si>
  <si>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</si>
  <si>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</si>
  <si>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</si>
  <si>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</si>
  <si>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</si>
  <si>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</si>
  <si>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</si>
  <si>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</si>
  <si>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</si>
  <si>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</si>
  <si>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</si>
  <si>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</si>
  <si>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</si>
  <si>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</si>
  <si>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</si>
  <si>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</si>
  <si>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</si>
  <si>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</si>
  <si>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</si>
  <si>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</si>
  <si>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</si>
  <si>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</si>
  <si>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</si>
  <si>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</si>
  <si>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</si>
  <si>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</si>
  <si>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</si>
  <si>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</si>
  <si>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</si>
  <si>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</si>
  <si>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</si>
  <si>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</si>
  <si>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</si>
  <si>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</si>
  <si>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</si>
  <si>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</si>
  <si>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</si>
  <si>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</si>
  <si>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</si>
  <si>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</si>
  <si>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</si>
  <si>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</si>
  <si>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</si>
  <si>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</si>
  <si>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</si>
  <si>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</si>
  <si>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</si>
  <si>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</si>
  <si>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</si>
  <si>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</si>
  <si>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</si>
  <si>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</si>
  <si>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</si>
  <si>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</si>
  <si>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</si>
  <si>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</si>
  <si>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</si>
  <si>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</si>
  <si>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</si>
  <si>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</si>
  <si>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</si>
  <si>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</si>
  <si>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</si>
  <si>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</si>
  <si>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</si>
  <si>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</si>
  <si>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</si>
  <si>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</si>
  <si>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</si>
  <si>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</si>
  <si>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</si>
  <si>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</si>
  <si>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</si>
  <si>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</si>
  <si>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</si>
  <si>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</si>
  <si>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</si>
  <si>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</si>
  <si>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</si>
  <si>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</si>
  <si>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</si>
  <si>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</si>
  <si>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</si>
  <si>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</si>
  <si>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</si>
  <si>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</si>
  <si>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</si>
  <si>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</si>
  <si>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</si>
  <si>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</si>
  <si>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</si>
  <si>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</si>
  <si>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</si>
  <si>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</si>
  <si>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</si>
  <si>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</si>
  <si>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</si>
  <si>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</si>
  <si>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</si>
  <si>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</si>
  <si>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</si>
  <si>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</si>
  <si>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</si>
  <si>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</si>
  <si>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</si>
  <si>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</si>
  <si>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</si>
  <si>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</si>
  <si>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</si>
  <si>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</si>
  <si>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</si>
  <si>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</si>
  <si>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</si>
  <si>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</si>
  <si>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</si>
  <si>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</si>
  <si>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</si>
  <si>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</si>
  <si>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</si>
  <si>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</si>
  <si>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</si>
  <si>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</si>
  <si>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</si>
  <si>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</si>
  <si>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</si>
  <si>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</si>
  <si>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</si>
  <si>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</si>
  <si>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</si>
  <si>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</si>
  <si>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</si>
  <si>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</si>
  <si>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</si>
  <si>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</si>
  <si>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</si>
  <si>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</si>
  <si>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</si>
  <si>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</si>
  <si>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</si>
  <si>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</si>
  <si>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</si>
  <si>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</si>
  <si>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</si>
  <si>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</si>
  <si>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</si>
  <si>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</si>
  <si>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</si>
  <si>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</si>
  <si>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</si>
  <si>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</si>
  <si>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</si>
  <si>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</si>
  <si>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</si>
  <si>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</si>
  <si>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</si>
  <si>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</si>
  <si>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</si>
  <si>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</si>
  <si>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</si>
  <si>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</si>
  <si>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</si>
  <si>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</si>
  <si>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</si>
  <si>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</si>
  <si>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</si>
  <si>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</si>
  <si>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</si>
  <si>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</si>
  <si>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</si>
  <si>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</si>
  <si>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</si>
  <si>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</si>
  <si>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</si>
  <si>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</si>
  <si>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</si>
  <si>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</si>
  <si>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</si>
  <si>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</si>
  <si>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</si>
  <si>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</si>
  <si>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</si>
  <si>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</si>
  <si>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</si>
  <si>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</si>
  <si>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</si>
  <si>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</si>
  <si>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</si>
  <si>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</si>
  <si>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</si>
  <si>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</si>
  <si>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</si>
  <si>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</si>
  <si>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</si>
  <si>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</si>
  <si>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</si>
  <si>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</si>
  <si>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</si>
  <si>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</si>
  <si>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</si>
  <si>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</si>
  <si>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</si>
  <si>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</si>
  <si>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</si>
  <si>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</si>
  <si>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</si>
  <si>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</si>
  <si>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</si>
  <si>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</si>
  <si>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</si>
  <si>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</si>
  <si>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</si>
  <si>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</si>
  <si>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</si>
  <si>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</si>
  <si>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</si>
  <si>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</si>
  <si>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</si>
  <si>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</si>
  <si>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</si>
  <si>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</si>
  <si>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</si>
  <si>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</si>
  <si>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</si>
  <si>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</si>
  <si>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</si>
  <si>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</si>
  <si>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</si>
  <si>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</si>
  <si>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</si>
  <si>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</si>
  <si>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</si>
  <si>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</si>
  <si>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</si>
  <si>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</si>
  <si>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</si>
  <si>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</si>
  <si>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</si>
  <si>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</si>
  <si>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</si>
  <si>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</si>
  <si>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</si>
  <si>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</si>
  <si>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</si>
  <si>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</si>
  <si>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</si>
  <si>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</si>
  <si>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</si>
  <si>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</si>
  <si>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</si>
  <si>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</si>
  <si>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</si>
  <si>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</si>
  <si>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</si>
  <si>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</si>
  <si>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</si>
  <si>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</si>
  <si>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</si>
  <si>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</si>
  <si>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</si>
  <si>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</si>
  <si>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</si>
  <si>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</si>
  <si>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</si>
  <si>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</si>
  <si>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</si>
  <si>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</si>
  <si>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</si>
  <si>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</si>
  <si>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</si>
  <si>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</si>
  <si>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</si>
  <si>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</si>
  <si>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</si>
  <si>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</si>
  <si>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</si>
  <si>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</si>
  <si>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</si>
  <si>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</si>
  <si>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</si>
  <si>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</si>
  <si>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</si>
  <si>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</si>
  <si>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</si>
  <si>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</si>
  <si>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</si>
  <si>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</si>
  <si>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</si>
  <si>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</si>
  <si>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</si>
  <si>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</si>
  <si>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</si>
  <si>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</si>
  <si>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</si>
  <si>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</si>
  <si>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</si>
  <si>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</si>
  <si>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</si>
  <si>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</si>
  <si>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</si>
  <si>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</si>
  <si>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</si>
  <si>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</si>
  <si>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</si>
  <si>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</si>
  <si>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</si>
  <si>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</si>
  <si>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</si>
  <si>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</si>
  <si>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</si>
  <si>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</si>
  <si>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</si>
  <si>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</si>
  <si>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</si>
  <si>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</si>
  <si>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</si>
  <si>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</si>
  <si>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</si>
  <si>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</si>
  <si>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</si>
  <si>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</si>
  <si>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</si>
  <si>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</si>
  <si>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</si>
  <si>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</si>
  <si>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</si>
  <si>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</si>
  <si>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</si>
  <si>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</si>
  <si>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</si>
  <si>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</si>
  <si>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</si>
  <si>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</si>
  <si>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</si>
  <si>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</si>
  <si>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</si>
  <si>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</si>
  <si>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</si>
  <si>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</si>
  <si>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</si>
  <si>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</si>
  <si>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</si>
  <si>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</si>
  <si>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</si>
  <si>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</si>
  <si>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</si>
  <si>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</si>
  <si>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</si>
  <si>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</si>
  <si>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</si>
  <si>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</si>
  <si>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</si>
  <si>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</si>
  <si>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</si>
  <si>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</si>
  <si>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</si>
  <si>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</si>
  <si>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</si>
  <si>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</si>
  <si>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</si>
  <si>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</si>
  <si>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</si>
  <si>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</si>
  <si>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</si>
  <si>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</si>
  <si>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</si>
  <si>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</si>
  <si>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</si>
  <si>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</si>
  <si>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</si>
  <si>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</si>
  <si>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</si>
  <si>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</si>
  <si>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</si>
  <si>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</si>
  <si>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</si>
  <si>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</si>
  <si>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</si>
  <si>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</si>
  <si>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</si>
  <si>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</si>
  <si>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</si>
  <si>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</si>
  <si>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</si>
  <si>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</si>
  <si>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</si>
  <si>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</si>
  <si>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</si>
  <si>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</si>
  <si>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</si>
  <si>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</si>
  <si>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</si>
  <si>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</si>
  <si>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</si>
  <si>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</si>
  <si>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</si>
  <si>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</si>
  <si>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</si>
  <si>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</si>
  <si>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</si>
  <si>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</si>
  <si>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</si>
  <si>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</si>
  <si>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</si>
  <si>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</si>
  <si>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</si>
  <si>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</si>
  <si>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</si>
  <si>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</si>
  <si>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</si>
  <si>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</si>
  <si>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</si>
  <si>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</si>
  <si>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</si>
  <si>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</si>
  <si>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</si>
  <si>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</si>
  <si>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</si>
  <si>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</si>
  <si>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</si>
  <si>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</si>
  <si>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</si>
  <si>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</si>
  <si>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</si>
  <si>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</si>
  <si>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</si>
  <si>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</si>
  <si>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</si>
  <si>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</si>
  <si>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</si>
  <si>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</si>
  <si>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</si>
  <si>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</si>
  <si>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</si>
  <si>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</si>
  <si>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</si>
  <si>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</si>
  <si>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</si>
  <si>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</si>
  <si>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</si>
  <si>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</si>
  <si>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</si>
  <si>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</si>
  <si>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</si>
  <si>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</si>
  <si>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</si>
  <si>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</si>
  <si>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</si>
  <si>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</si>
  <si>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</si>
  <si>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</si>
  <si>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</si>
  <si>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</si>
  <si>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</si>
  <si>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</si>
  <si>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</si>
  <si>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</si>
  <si>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</si>
  <si>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</si>
  <si>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</si>
  <si>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</si>
  <si>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</si>
  <si>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</si>
  <si>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</si>
  <si>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</si>
  <si>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</si>
  <si>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</si>
  <si>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</si>
  <si>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</si>
  <si>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</si>
  <si>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</si>
  <si>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</si>
  <si>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</si>
  <si>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</si>
  <si>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</si>
  <si>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</si>
  <si>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</si>
  <si>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</si>
  <si>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</si>
  <si>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</si>
  <si>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</si>
  <si>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</si>
  <si>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</si>
  <si>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</si>
  <si>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</si>
  <si>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</si>
  <si>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</si>
  <si>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</si>
  <si>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</si>
  <si>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</si>
  <si>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</si>
  <si>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</si>
  <si>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</si>
  <si>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</si>
  <si>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</si>
  <si>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</si>
  <si>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</si>
  <si>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</si>
  <si>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</si>
  <si>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</si>
  <si>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</si>
  <si>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</si>
  <si>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</si>
  <si>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</si>
  <si>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</si>
  <si>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</si>
  <si>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</si>
  <si>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</si>
  <si>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</si>
  <si>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</si>
  <si>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</si>
  <si>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</si>
  <si>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</si>
  <si>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</si>
  <si>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</si>
  <si>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</si>
  <si>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</si>
  <si>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</si>
  <si>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</si>
  <si>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</si>
  <si>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</si>
  <si>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</si>
  <si>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</si>
  <si>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</si>
  <si>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</si>
  <si>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</si>
  <si>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</si>
  <si>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</si>
  <si>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</si>
  <si>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</si>
  <si>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</si>
  <si>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</si>
  <si>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</si>
  <si>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</si>
  <si>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</si>
  <si>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</si>
  <si>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</si>
  <si>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</si>
  <si>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</si>
  <si>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</si>
  <si>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</si>
  <si>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</si>
  <si>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</si>
  <si>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</si>
  <si>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</si>
  <si>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</si>
  <si>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</si>
  <si>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</si>
  <si>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</si>
  <si>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</si>
  <si>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</si>
  <si>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</si>
  <si>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</si>
  <si>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</si>
  <si>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</si>
  <si>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</si>
  <si>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</si>
  <si>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</si>
  <si>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</si>
  <si>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</si>
  <si>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</si>
  <si>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</si>
  <si>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</si>
  <si>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</si>
  <si>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</si>
  <si>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</si>
  <si>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</si>
  <si>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</si>
  <si>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</si>
  <si>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</si>
  <si>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</si>
  <si>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</si>
  <si>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</si>
  <si>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</si>
  <si>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</si>
  <si>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</si>
  <si>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</si>
  <si>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</si>
  <si>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</si>
  <si>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</si>
  <si>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</si>
  <si>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</si>
  <si>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</si>
  <si>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</si>
  <si>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</si>
  <si>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</si>
  <si>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</si>
  <si>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</si>
  <si>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</si>
  <si>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</si>
  <si>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</si>
  <si>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</si>
  <si>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</si>
  <si>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</si>
  <si>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</si>
  <si>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</si>
  <si>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</si>
  <si>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</si>
  <si>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</si>
  <si>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</si>
  <si>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</si>
  <si>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</si>
  <si>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</si>
  <si>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</si>
  <si>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</si>
  <si>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</si>
  <si>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</si>
  <si>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</si>
  <si>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</si>
  <si>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</si>
  <si>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</si>
  <si>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</si>
  <si>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</si>
  <si>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</si>
  <si>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</si>
  <si>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</si>
  <si>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</si>
  <si>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</si>
  <si>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</si>
  <si>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</si>
  <si>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</si>
  <si>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</si>
  <si>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</si>
  <si>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</si>
  <si>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</si>
  <si>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</si>
  <si>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</si>
  <si>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</si>
  <si>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</si>
  <si>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</si>
  <si>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</si>
  <si>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</si>
  <si>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</si>
  <si>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</si>
  <si>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</si>
  <si>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</si>
  <si>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</si>
  <si>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</si>
  <si>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</si>
  <si>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</si>
  <si>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</si>
  <si>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</si>
  <si>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</si>
  <si>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</si>
  <si>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</si>
  <si>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</si>
  <si>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</si>
  <si>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</si>
  <si>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</si>
  <si>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</si>
  <si>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</si>
  <si>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</si>
  <si>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</si>
  <si>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</si>
  <si>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</si>
  <si>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</si>
  <si>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</si>
  <si>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</si>
  <si>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</si>
  <si>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</si>
  <si>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</si>
  <si>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</si>
  <si>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</si>
  <si>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</si>
  <si>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</si>
  <si>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</si>
  <si>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</si>
  <si>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</si>
  <si>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</si>
  <si>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</si>
  <si>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</si>
  <si>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</si>
  <si>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</si>
  <si>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</si>
  <si>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</si>
  <si>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</si>
  <si>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</si>
  <si>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</si>
  <si>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</si>
  <si>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</si>
  <si>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</si>
  <si>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</si>
  <si>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</si>
  <si>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</si>
  <si>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</si>
  <si>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</si>
  <si>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</si>
  <si>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</si>
  <si>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</si>
  <si>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</si>
  <si>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</si>
  <si>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</si>
  <si>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</si>
  <si>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</si>
  <si>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</si>
  <si>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</si>
  <si>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</si>
  <si>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</si>
  <si>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</si>
  <si>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</si>
  <si>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</si>
  <si>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</si>
  <si>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</si>
  <si>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</si>
  <si>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</si>
  <si>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</si>
  <si>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</si>
  <si>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</si>
  <si>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</si>
  <si>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</si>
  <si>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</si>
  <si>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</si>
  <si>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</si>
  <si>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</si>
  <si>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</si>
  <si>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</si>
  <si>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</si>
  <si>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</si>
  <si>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</si>
  <si>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</si>
  <si>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</si>
  <si>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</si>
  <si>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</si>
  <si>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</si>
  <si>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</si>
  <si>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</si>
  <si>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</si>
  <si>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</si>
  <si>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</si>
  <si>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</si>
  <si>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</si>
  <si>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</si>
  <si>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</si>
  <si>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</si>
  <si>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</si>
  <si>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</si>
  <si>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</si>
  <si>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</si>
  <si>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</si>
  <si>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</si>
  <si>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</si>
  <si>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</si>
  <si>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</si>
  <si>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</si>
  <si>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</si>
  <si>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</si>
  <si>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</si>
  <si>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</si>
  <si>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</si>
  <si>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</si>
  <si>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</si>
  <si>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</si>
  <si>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</si>
  <si>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</si>
  <si>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</si>
  <si>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</si>
  <si>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</si>
  <si>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</si>
  <si>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</si>
  <si>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</si>
  <si>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</si>
  <si>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</si>
  <si>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</si>
  <si>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</si>
  <si>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</si>
  <si>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</si>
  <si>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</si>
  <si>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</si>
  <si>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</si>
  <si>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</si>
  <si>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</si>
  <si>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</si>
  <si>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</si>
  <si>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</si>
  <si>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</si>
  <si>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</si>
  <si>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</si>
  <si>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</si>
  <si>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</si>
  <si>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</si>
  <si>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</si>
  <si>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</si>
  <si>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</si>
  <si>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</si>
  <si>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</si>
  <si>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</si>
  <si>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</si>
  <si>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</si>
  <si>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</si>
  <si>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</si>
  <si>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</si>
  <si>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</si>
  <si>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</si>
  <si>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</si>
  <si>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</si>
  <si>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</si>
  <si>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</si>
  <si>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</si>
  <si>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</si>
  <si>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</si>
  <si>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</si>
  <si>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</si>
  <si>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</si>
  <si>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</si>
  <si>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</si>
  <si>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</si>
  <si>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</si>
  <si>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</si>
  <si>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</si>
  <si>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</si>
  <si>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</si>
  <si>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</si>
  <si>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</si>
  <si>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</si>
  <si>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</si>
  <si>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</si>
  <si>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</si>
  <si>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</si>
  <si>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</si>
  <si>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</si>
  <si>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</si>
  <si>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</si>
  <si>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</si>
  <si>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</si>
  <si>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</si>
  <si>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</si>
  <si>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</si>
  <si>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</si>
  <si>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</si>
  <si>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</si>
  <si>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</si>
  <si>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</si>
  <si>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</si>
  <si>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</si>
  <si>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</si>
  <si>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</si>
  <si>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</si>
  <si>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</si>
  <si>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</si>
  <si>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</si>
  <si>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</si>
  <si>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</si>
  <si>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</si>
  <si>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</si>
  <si>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</si>
  <si>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</si>
  <si>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</si>
  <si>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</si>
  <si>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</si>
  <si>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</si>
  <si>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</si>
  <si>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</si>
  <si>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</si>
  <si>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</si>
  <si>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</si>
  <si>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</si>
  <si>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</si>
  <si>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</si>
  <si>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</si>
  <si>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</si>
  <si>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</si>
  <si>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</si>
  <si>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</si>
  <si>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</si>
  <si>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</si>
  <si>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</si>
  <si>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</si>
  <si>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</si>
  <si>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</si>
  <si>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</si>
  <si>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</si>
  <si>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</si>
  <si>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</si>
  <si>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</si>
  <si>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</si>
  <si>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</si>
  <si>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</si>
  <si>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</si>
  <si>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</si>
  <si>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</si>
  <si>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</si>
  <si>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</si>
  <si>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</si>
  <si>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</si>
  <si>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</si>
  <si>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</si>
  <si>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</si>
  <si>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</si>
  <si>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</si>
  <si>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</si>
  <si>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</si>
  <si>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</si>
  <si>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</si>
  <si>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</si>
  <si>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</si>
  <si>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</si>
  <si>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</si>
  <si>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</si>
  <si>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</si>
  <si>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</si>
  <si>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</si>
  <si>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</si>
  <si>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</si>
  <si>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</si>
  <si>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</si>
  <si>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</si>
  <si>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</si>
  <si>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</si>
  <si>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</si>
  <si>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</si>
  <si>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</si>
  <si>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</si>
  <si>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</si>
  <si>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</si>
  <si>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</si>
  <si>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</si>
  <si>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</si>
  <si>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</si>
  <si>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</si>
  <si>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</si>
  <si>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</si>
  <si>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</si>
  <si>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</si>
  <si>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</si>
  <si>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</si>
  <si>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</si>
  <si>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</si>
  <si>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</si>
  <si>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</si>
  <si>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</si>
  <si>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</si>
  <si>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</si>
  <si>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</si>
  <si>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</si>
  <si>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</si>
  <si>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</si>
  <si>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</si>
  <si>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</si>
  <si>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</si>
  <si>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</si>
  <si>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</si>
  <si>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</si>
  <si>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</si>
  <si>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</si>
  <si>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</si>
  <si>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</si>
  <si>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</si>
  <si>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</si>
  <si>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</si>
  <si>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Sem Oportunidade de faixa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</si>
  <si>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</si>
  <si>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</si>
  <si>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</si>
  <si>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</si>
  <si>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</si>
  <si>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</si>
  <si>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</si>
  <si>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</si>
  <si>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</si>
  <si>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</si>
  <si>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</si>
  <si>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</si>
  <si>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</si>
  <si>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</si>
  <si>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</si>
  <si>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</si>
  <si>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</si>
  <si>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</si>
  <si>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</si>
  <si>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</si>
  <si>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</si>
  <si>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</si>
  <si>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</si>
  <si>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</si>
  <si>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</si>
  <si>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</si>
  <si>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</si>
  <si>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>Limpeza de lastro</t>
  </si>
  <si>
    <t>2 (FIXO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</si>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</sst>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72" activePane="topRight" state="frozen"/>
      <selection pane="topRight" activeCell="H101" sqref="H101:Q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925</v>
      </c>
      <c r="C1" s="182"/>
      <c r="D1" s="182"/>
      <c r="E1" s="3"/>
      <c r="F1" s="181" t="s">
        <v>926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927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928</v>
      </c>
      <c r="BI1" s="197"/>
      <c r="BJ1" s="197"/>
      <c r="BK1" s="198"/>
      <c r="BL1" s="5"/>
      <c r="BM1" s="188" t="s">
        <v>929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1" t="s">
        <v>930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933</v>
      </c>
      <c r="AT2" s="192"/>
      <c r="AU2" s="192"/>
      <c r="AV2" s="192"/>
      <c r="AW2" s="192"/>
      <c r="AX2" s="192"/>
      <c r="AY2" s="195"/>
      <c r="AZ2" s="6"/>
      <c r="BA2" s="185" t="s">
        <v>934</v>
      </c>
      <c r="BB2" s="187"/>
      <c r="BC2" s="191" t="s">
        <v>931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5" t="s">
        <v>935</v>
      </c>
      <c r="AJ3" s="187"/>
      <c r="AK3" s="185" t="s">
        <v>936</v>
      </c>
      <c r="AL3" s="186"/>
      <c r="AM3" s="207"/>
      <c r="AN3" s="208"/>
      <c r="AO3" s="186"/>
      <c r="AP3" s="186"/>
      <c r="AQ3" s="187"/>
      <c r="AR3" s="63"/>
      <c r="AS3" s="179" t="s">
        <v>942</v>
      </c>
      <c r="AT3" s="180"/>
      <c r="AU3" s="179" t="s">
        <v>943</v>
      </c>
      <c r="AV3" s="180"/>
      <c r="AW3" s="179" t="s">
        <v>944</v>
      </c>
      <c r="AX3" s="180"/>
      <c r="AY3" s="63" t="s">
        <v>945</v>
      </c>
      <c r="AZ3" s="63"/>
      <c r="BA3" s="205"/>
      <c r="BB3" s="206"/>
      <c r="BC3" s="185" t="s">
        <v>938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946</v>
      </c>
      <c r="BN3" s="189"/>
      <c r="BO3" s="189"/>
      <c r="BP3" s="190"/>
      <c r="BQ3" s="188" t="s">
        <v>717</v>
      </c>
      <c r="BR3" s="189"/>
      <c r="BS3" s="19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 t="s">
        <v>1108</v>
      </c>
      <c r="BL59" s="16"/>
      <c r="BM59" s="130" t="s">
        <v>426</v>
      </c>
      <c r="BN59" s="130" t="s">
        <v>426</v>
      </c>
      <c r="BO59" s="130" t="s">
        <v>426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SemOportunidadeSemOportunidade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1110</v>
      </c>
      <c r="BK62" s="18" t="s">
        <v>1110</v>
      </c>
      <c r="BL62" s="16"/>
      <c r="BM62" s="130" t="s">
        <v>422</v>
      </c>
      <c r="BN62" s="130" t="s">
        <v>438</v>
      </c>
      <c r="BO62" s="130" t="s">
        <v>524</v>
      </c>
      <c r="BP62" s="18" t="s">
        <v>1110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1110</v>
      </c>
      <c r="BK63" s="18" t="s">
        <v>1110</v>
      </c>
      <c r="BL63" s="16"/>
      <c r="BM63" s="130" t="s">
        <v>422</v>
      </c>
      <c r="BN63" s="130" t="s">
        <v>438</v>
      </c>
      <c r="BO63" s="130" t="s">
        <v>524</v>
      </c>
      <c r="BP63" s="18" t="s">
        <v>1110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1111</v>
      </c>
      <c r="BK64" s="18" t="s">
        <v>1112</v>
      </c>
      <c r="BL64" s="16"/>
      <c r="BM64" s="130" t="s">
        <v>422</v>
      </c>
      <c r="BN64" s="130" t="s">
        <v>446</v>
      </c>
      <c r="BO64" s="130" t="s">
        <v>446</v>
      </c>
      <c r="BP64" s="18" t="s">
        <v>1112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1111</v>
      </c>
      <c r="BK65" s="18" t="s">
        <v>1112</v>
      </c>
      <c r="BL65" s="16"/>
      <c r="BM65" s="130" t="s">
        <v>422</v>
      </c>
      <c r="BN65" s="130" t="s">
        <v>446</v>
      </c>
      <c r="BO65" s="130" t="s">
        <v>446</v>
      </c>
      <c r="BP65" s="18" t="s">
        <v>1112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1113</v>
      </c>
      <c r="I66" s="106" t="s">
        <v>1113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1114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1115</v>
      </c>
      <c r="BK66" s="18" t="s">
        <v>1115</v>
      </c>
      <c r="BL66" s="16"/>
      <c r="BM66" s="130" t="s">
        <v>418</v>
      </c>
      <c r="BN66" s="130" t="s">
        <v>445</v>
      </c>
      <c r="BO66" s="130" t="s">
        <v>496</v>
      </c>
      <c r="BP66" s="18" t="s">
        <v>1115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1116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1117</v>
      </c>
      <c r="W67" s="151" t="s">
        <v>1118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1119</v>
      </c>
      <c r="BK67" s="18" t="s">
        <v>1119</v>
      </c>
      <c r="BL67" s="16"/>
      <c r="BM67" s="130" t="s">
        <v>415</v>
      </c>
      <c r="BN67" s="130" t="s">
        <v>435</v>
      </c>
      <c r="BO67" s="130" t="s">
        <v>532</v>
      </c>
      <c r="BP67" s="18" t="s">
        <v>1119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1116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1117</v>
      </c>
      <c r="W68" s="151" t="s">
        <v>1120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1121</v>
      </c>
      <c r="BK68" s="18" t="s">
        <v>1121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1117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1119</v>
      </c>
      <c r="BK69" s="18" t="s">
        <v>1119</v>
      </c>
      <c r="BL69" s="16"/>
      <c r="BM69" s="130" t="s">
        <v>415</v>
      </c>
      <c r="BN69" s="130" t="s">
        <v>435</v>
      </c>
      <c r="BO69" s="130" t="s">
        <v>532</v>
      </c>
      <c r="BP69" s="18" t="s">
        <v>1119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1122</v>
      </c>
      <c r="I70" s="106" t="s">
        <v>1123</v>
      </c>
      <c r="J70" s="105">
        <v>54</v>
      </c>
      <c r="K70" s="105">
        <v>106.4</v>
      </c>
      <c r="L70" s="105" t="s">
        <v>568</v>
      </c>
      <c r="M70" s="127" t="s">
        <v>1124</v>
      </c>
      <c r="N70" s="127" t="s">
        <v>1125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1117</v>
      </c>
      <c r="W71" s="151" t="s">
        <v>1128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1119</v>
      </c>
      <c r="BK71" s="18" t="s">
        <v>1119</v>
      </c>
      <c r="BL71" s="16"/>
      <c r="BM71" s="130" t="s">
        <v>415</v>
      </c>
      <c r="BN71" s="130" t="s">
        <v>435</v>
      </c>
      <c r="BO71" s="130" t="s">
        <v>532</v>
      </c>
      <c r="BP71" s="18" t="s">
        <v>1119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1129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1119</v>
      </c>
      <c r="BK72" s="18" t="s">
        <v>1119</v>
      </c>
      <c r="BL72" s="16"/>
      <c r="BM72" s="130" t="s">
        <v>415</v>
      </c>
      <c r="BN72" s="130" t="s">
        <v>435</v>
      </c>
      <c r="BO72" s="130" t="s">
        <v>532</v>
      </c>
      <c r="BP72" s="18" t="s">
        <v>1119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1130</v>
      </c>
      <c r="BK73" s="18" t="s">
        <v>1131</v>
      </c>
      <c r="BL73" s="16"/>
      <c r="BM73" s="130" t="s">
        <v>422</v>
      </c>
      <c r="BN73" s="130" t="s">
        <v>446</v>
      </c>
      <c r="BO73" s="130" t="s">
        <v>446</v>
      </c>
      <c r="BP73" s="18" t="s">
        <v>1131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1122</v>
      </c>
      <c r="I74" s="106" t="s">
        <v>1122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1132</v>
      </c>
      <c r="BK74" s="18" t="s">
        <v>1132</v>
      </c>
      <c r="BL74" s="16"/>
      <c r="BM74" s="130" t="s">
        <v>426</v>
      </c>
      <c r="BN74" s="130" t="s">
        <v>426</v>
      </c>
      <c r="BO74" s="130" t="s">
        <v>426</v>
      </c>
      <c r="BP74" s="18" t="s">
        <v>1132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1133</v>
      </c>
      <c r="BK75" s="18" t="s">
        <v>1134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</v>
      </c>
      <c r="B80" s="102"/>
      <c r="C80" s="135" t="str">
        <f>IF(BS_CONTROLE[[#This Row],[DATA]]="","",WEEKNUM(BS_CONTROLE[[#This Row],[DATA]]))</f>
        <v/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</v>
      </c>
      <c r="B82" s="102"/>
      <c r="C82" s="135" t="str">
        <f>IF(BS_CONTROLE[[#This Row],[DATA]]="","",WEEKNUM(BS_CONTROLE[[#This Row],[DATA]]))</f>
        <v/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1135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635</v>
      </c>
      <c r="G92" s="142" t="str">
        <f>IF(D92="","*",VLOOKUP(F92,BS_ATIVIDADE[],3,FALSE))</f>
        <v>TRILHEIRO - DESCARGA</v>
      </c>
      <c r="H92" s="106" t="s">
        <v>183</v>
      </c>
      <c r="I92" s="106" t="s">
        <v>1064</v>
      </c>
      <c r="J92" s="105">
        <v>55</v>
      </c>
      <c r="K92" s="105">
        <v>95.385000000000005</v>
      </c>
      <c r="L92" s="105">
        <v>99.831000000000003</v>
      </c>
      <c r="M92" s="1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2" s="150" t="s">
        <v>1065</v>
      </c>
      <c r="O92" s="106">
        <v>0.39583333333333331</v>
      </c>
      <c r="P92" s="106">
        <v>8.3333333333333329E-2</v>
      </c>
      <c r="Q92" s="172">
        <v>1248</v>
      </c>
      <c r="R92" s="10" t="str">
        <f>IFERROR(_xlfn.XLOOKUP(F92, BS_ATIVIDADE[ATIVIDADE],BS_ATIVIDADE[UNIDADE] ), "*")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1066</v>
      </c>
      <c r="W92" s="151" t="s">
        <v>1067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TRILHEIRO - DESCARGA</v>
      </c>
      <c r="AJ92" s="9" t="str">
        <f>IF(BS_CONTROLE[[#This Row],[Atividade]]=0, "-", BS_CONTROLE[[#This Row],[Atividade]])</f>
        <v>TRILHEIRO - DESCARGA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ZWW-ZKW</v>
      </c>
      <c r="AN92" s="105" t="str">
        <f>IF(BS_CONTROLE[[#This Row],[SB]]=0, "-", BS_CONTROLE[[#This Row],[SB]])</f>
        <v>ZKW2/102ZKW2</v>
      </c>
      <c r="AO92" s="105">
        <f>IF(BS_CONTROLE[[#This Row],[SUB]]=0, "-", BS_CONTROLE[[#This Row],[SUB]])</f>
        <v>55</v>
      </c>
      <c r="AP92" s="105">
        <f>BS_CONTROLE[[#This Row],[KM - Inicio]]</f>
        <v>95.385000000000005</v>
      </c>
      <c r="AQ92" s="105">
        <f>BS_CONTROLE[[#This Row],[KM - Inicio]]</f>
        <v>95.385000000000005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</v>
      </c>
      <c r="B98" s="102"/>
      <c r="C98" s="135" t="str">
        <f>IF(BS_CONTROLE[[#This Row],[DATA]]="","",WEEKNUM(BS_CONTROLE[[#This Row],[DATA]]))</f>
        <v/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>DIEGO (TF-42)</v>
      </c>
      <c r="B99" s="102"/>
      <c r="C99" s="135" t="str">
        <f>IF(BS_CONTROLE[[#This Row],[DATA]]="","",WEEKNUM(BS_CONTROLE[[#This Row],[DATA]]))</f>
        <v/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1136</v>
      </c>
      <c r="X99" s="104" t="s">
        <v>391</v>
      </c>
      <c r="Y99" s="129"/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>W62</v>
      </c>
      <c r="B100" s="102"/>
      <c r="C100" s="135" t="str">
        <f>IF(BS_CONTROLE[[#This Row],[DATA]]="","",WEEKNUM(BS_CONTROLE[[#This Row],[DATA]]))</f>
        <v/>
      </c>
      <c r="D100" s="104" t="s">
        <v>803</v>
      </c>
      <c r="E100" s="159">
        <v>94</v>
      </c>
      <c r="F100" s="126" t="s">
        <v>761</v>
      </c>
      <c r="G100" s="142" t="str">
        <f>IF(D100="","*",VLOOKUP(F100,BS_ATIVIDADE[],3,FALSE))</f>
        <v>OUTROS</v>
      </c>
      <c r="H100" s="106" t="s">
        <v>1081</v>
      </c>
      <c r="I100" s="106" t="s">
        <v>1081</v>
      </c>
      <c r="J100" s="105">
        <v>53</v>
      </c>
      <c r="K100" s="105">
        <v>125</v>
      </c>
      <c r="L100" s="105">
        <v>125.4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0" s="127" t="s">
        <v>122</v>
      </c>
      <c r="O100" s="106">
        <v>0.33333333333333331</v>
      </c>
      <c r="P100" s="106">
        <v>6.25E-2</v>
      </c>
      <c r="Q100" s="105">
        <v>300</v>
      </c>
      <c r="R100" s="10" t="str">
        <f>IFERROR(_xlfn.XLOOKUP(F100, BS_ATIVIDADE[ATIVIDADE],BS_ATIVIDADE[UNIDADE] ), "*")</f>
        <v>Nº DE PEÇAS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1078</v>
      </c>
      <c r="W100" s="151" t="s">
        <v>1041</v>
      </c>
      <c r="X100" s="104" t="s">
        <v>396</v>
      </c>
      <c r="Y100" s="129"/>
      <c r="Z100" s="104"/>
      <c r="AA100" s="105" t="s">
        <v>1137</v>
      </c>
      <c r="AB100" s="103" t="s">
        <v>398</v>
      </c>
      <c r="AC100" s="152" t="s">
        <v>394</v>
      </c>
      <c r="AD100" s="107">
        <v>0.3125</v>
      </c>
      <c r="AE100" s="105">
        <v>9038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RECOLHIMENTO DE DORMENTE</v>
      </c>
      <c r="AJ100" s="9" t="str">
        <f>IF(BS_CONTROLE[[#This Row],[Atividade]]=0, "-", BS_CONTROLE[[#This Row],[Atividade]])</f>
        <v>RECOLHIMENTO DE DORMENTE</v>
      </c>
      <c r="AK100" s="31" t="str">
        <f>BS_CONTROLE[[#This Row],[Local - Partida]]</f>
        <v>ZPTZDR</v>
      </c>
      <c r="AL100" s="31" t="str">
        <f>BS_CONTROLE[[#This Row],[Local - Encerramento]]</f>
        <v>ZPTZDR</v>
      </c>
      <c r="AM100" s="105" t="str">
        <f>IF(BS_CONTROLE[[#This Row],[Entre - Estações]]=0, "-", BS_CONTROLE[[#This Row],[Entre - Estações]])</f>
        <v>ZPG</v>
      </c>
      <c r="AN100" s="105" t="str">
        <f>IF(BS_CONTROLE[[#This Row],[SB]]=0, "-", BS_CONTROLE[[#This Row],[SB]])</f>
        <v>ZPGRUM2</v>
      </c>
      <c r="AO100" s="105">
        <f>IF(BS_CONTROLE[[#This Row],[SUB]]=0, "-", BS_CONTROLE[[#This Row],[SUB]])</f>
        <v>53</v>
      </c>
      <c r="AP100" s="105">
        <f>BS_CONTROLE[[#This Row],[KM - Inicio]]</f>
        <v>125</v>
      </c>
      <c r="AQ100" s="105">
        <f>BS_CONTROLE[[#This Row],[KM - Inicio]]</f>
        <v>125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>W62</v>
      </c>
      <c r="B101" s="102"/>
      <c r="C101" s="135" t="str">
        <f>IF(BS_CONTROLE[[#This Row],[DATA]]="","",WEEKNUM(BS_CONTROLE[[#This Row],[DATA]]))</f>
        <v/>
      </c>
      <c r="D101" s="104" t="s">
        <v>803</v>
      </c>
      <c r="E101" s="159">
        <v>94</v>
      </c>
      <c r="F101" s="126" t="s">
        <v>761</v>
      </c>
      <c r="G101" s="142" t="str">
        <f>IF(D101="","*",VLOOKUP(F101,BS_ATIVIDADE[],3,FALSE))</f>
        <v>OUTROS</v>
      </c>
      <c r="H101" s="106" t="s">
        <v>1081</v>
      </c>
      <c r="I101" s="106" t="s">
        <v>1081</v>
      </c>
      <c r="J101" s="105">
        <v>53</v>
      </c>
      <c r="K101" s="105">
        <v>125</v>
      </c>
      <c r="L101" s="105">
        <v>125.4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1" s="127" t="s">
        <v>122</v>
      </c>
      <c r="O101" s="106">
        <v>0.33333333333333331</v>
      </c>
      <c r="P101" s="106">
        <v>6.25E-2</v>
      </c>
      <c r="Q101" s="105">
        <v>300</v>
      </c>
      <c r="R101" s="10" t="str">
        <f>IFERROR(_xlfn.XLOOKUP(F101, BS_ATIVIDADE[ATIVIDADE],BS_ATIVIDADE[UNIDADE] ), "*")</f>
        <v>Nº DE PEÇAS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RECOLHIMENTO DE DORMENTE</v>
      </c>
      <c r="AJ101" s="9" t="str">
        <f>IF(BS_CONTROLE[[#This Row],[Atividade]]=0, "-", BS_CONTROLE[[#This Row],[Atividade]])</f>
        <v>RECOLHIMENTO DE DORMENTE</v>
      </c>
      <c r="AK101" s="31" t="str">
        <f>BS_CONTROLE[[#This Row],[Local - Partida]]</f>
        <v>ZPTZDR</v>
      </c>
      <c r="AL101" s="31" t="str">
        <f>BS_CONTROLE[[#This Row],[Local - Encerramento]]</f>
        <v>ZPTZDR</v>
      </c>
      <c r="AM101" s="105" t="str">
        <f>IF(BS_CONTROLE[[#This Row],[Entre - Estações]]=0, "-", BS_CONTROLE[[#This Row],[Entre - Estações]])</f>
        <v>ZPG</v>
      </c>
      <c r="AN101" s="105" t="str">
        <f>IF(BS_CONTROLE[[#This Row],[SB]]=0, "-", BS_CONTROLE[[#This Row],[SB]])</f>
        <v>ZPGRUM2</v>
      </c>
      <c r="AO101" s="105">
        <f>IF(BS_CONTROLE[[#This Row],[SUB]]=0, "-", BS_CONTROLE[[#This Row],[SUB]])</f>
        <v>53</v>
      </c>
      <c r="AP101" s="105">
        <f>BS_CONTROLE[[#This Row],[KM - Inicio]]</f>
        <v>125</v>
      </c>
      <c r="AQ101" s="105">
        <f>BS_CONTROLE[[#This Row],[KM - Inicio]]</f>
        <v>125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PEÇAS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1138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1139</v>
      </c>
      <c r="C4" s="160" t="s">
        <v>1140</v>
      </c>
      <c r="D4" s="160" t="s">
        <v>1141</v>
      </c>
      <c r="E4" s="160" t="s">
        <v>1142</v>
      </c>
      <c r="F4" s="160" t="s">
        <v>4</v>
      </c>
      <c r="G4" s="160" t="s">
        <v>1143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1144</v>
      </c>
      <c r="C6" s="161">
        <v>407867</v>
      </c>
      <c r="D6" s="161" t="s">
        <v>1145</v>
      </c>
      <c r="E6" s="161" t="s">
        <v>799</v>
      </c>
      <c r="F6" s="161" t="s">
        <v>1146</v>
      </c>
      <c r="G6" s="162"/>
    </row>
    <row r="7" spans="2:7">
      <c r="B7" s="161" t="s">
        <v>1147</v>
      </c>
      <c r="C7" s="161">
        <v>293644</v>
      </c>
      <c r="D7" s="161" t="s">
        <v>1148</v>
      </c>
      <c r="E7" s="161" t="s">
        <v>799</v>
      </c>
      <c r="F7" s="161" t="s">
        <v>1146</v>
      </c>
      <c r="G7" s="162"/>
    </row>
    <row r="8" spans="2:7">
      <c r="B8" s="161" t="s">
        <v>1149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1150</v>
      </c>
      <c r="C9" s="161">
        <v>256790</v>
      </c>
      <c r="D9" s="161" t="s">
        <v>1151</v>
      </c>
      <c r="E9" s="161" t="s">
        <v>800</v>
      </c>
      <c r="F9" s="161" t="s">
        <v>1152</v>
      </c>
      <c r="G9" s="162">
        <v>46357</v>
      </c>
    </row>
    <row r="10" spans="2:7">
      <c r="B10" s="161" t="s">
        <v>1153</v>
      </c>
      <c r="C10" s="161">
        <v>265193</v>
      </c>
      <c r="D10" s="161" t="s">
        <v>1154</v>
      </c>
      <c r="E10" s="161" t="s">
        <v>801</v>
      </c>
      <c r="F10" s="161" t="s">
        <v>1155</v>
      </c>
      <c r="G10" s="161" t="s">
        <v>1156</v>
      </c>
    </row>
    <row r="11" spans="2:7">
      <c r="B11" s="161" t="s">
        <v>1157</v>
      </c>
      <c r="C11" s="161">
        <v>293716</v>
      </c>
      <c r="D11" s="161" t="s">
        <v>1158</v>
      </c>
      <c r="E11" s="161" t="s">
        <v>801</v>
      </c>
      <c r="F11" s="161" t="s">
        <v>1155</v>
      </c>
      <c r="G11" s="162">
        <v>46204</v>
      </c>
    </row>
    <row r="12" spans="2:7">
      <c r="B12" s="161" t="s">
        <v>1159</v>
      </c>
      <c r="C12" s="161">
        <v>257258</v>
      </c>
      <c r="D12" s="161" t="s">
        <v>1160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1161</v>
      </c>
      <c r="C13" s="161">
        <v>371147</v>
      </c>
      <c r="D13" s="161" t="s">
        <v>1162</v>
      </c>
      <c r="E13" s="161" t="s">
        <v>802</v>
      </c>
      <c r="F13" s="161" t="s">
        <v>128</v>
      </c>
      <c r="G13" s="161" t="s">
        <v>1156</v>
      </c>
    </row>
    <row r="14" spans="2:7">
      <c r="B14" s="161" t="s">
        <v>1163</v>
      </c>
      <c r="C14" s="161">
        <v>259230</v>
      </c>
      <c r="D14" s="161" t="s">
        <v>1164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1165</v>
      </c>
      <c r="C15" s="161">
        <v>370705</v>
      </c>
      <c r="D15" s="161"/>
      <c r="E15" s="161" t="s">
        <v>802</v>
      </c>
      <c r="F15" s="161" t="s">
        <v>128</v>
      </c>
      <c r="G15" s="161" t="s">
        <v>1156</v>
      </c>
    </row>
    <row r="16" spans="2:7">
      <c r="B16" s="161" t="s">
        <v>1166</v>
      </c>
      <c r="C16" s="161">
        <v>258542</v>
      </c>
      <c r="D16" s="161" t="s">
        <v>1167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1168</v>
      </c>
      <c r="C17" s="161">
        <v>257050</v>
      </c>
      <c r="D17" s="161" t="s">
        <v>1169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1170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1171</v>
      </c>
      <c r="D4" s="163" t="s">
        <v>1172</v>
      </c>
      <c r="E4" s="163" t="s">
        <v>1173</v>
      </c>
      <c r="F4" s="160" t="s">
        <v>1174</v>
      </c>
      <c r="G4" s="163" t="s">
        <v>1175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1176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1177</v>
      </c>
      <c r="G7" s="167" t="s">
        <v>1178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1176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1176</v>
      </c>
      <c r="G9" s="167"/>
    </row>
    <row r="10" spans="2:7" ht="19.5" customHeight="1">
      <c r="B10" s="167" t="s">
        <v>1179</v>
      </c>
      <c r="C10" s="167">
        <v>9038</v>
      </c>
      <c r="D10" s="168">
        <v>46049</v>
      </c>
      <c r="E10" s="167">
        <v>15098</v>
      </c>
      <c r="F10" s="169" t="s">
        <v>1180</v>
      </c>
      <c r="G10" s="167" t="s">
        <v>1181</v>
      </c>
    </row>
    <row r="11" spans="2:7" ht="19.5" customHeight="1">
      <c r="B11" s="167" t="s">
        <v>719</v>
      </c>
      <c r="C11" s="167" t="s">
        <v>1182</v>
      </c>
      <c r="D11" s="168">
        <v>46048</v>
      </c>
      <c r="E11" s="167">
        <v>11300</v>
      </c>
      <c r="F11" s="169" t="s">
        <v>1183</v>
      </c>
      <c r="G11" s="167" t="s">
        <v>1184</v>
      </c>
    </row>
    <row r="12" spans="2:7" ht="19.5" customHeight="1">
      <c r="B12" s="167" t="s">
        <v>719</v>
      </c>
      <c r="C12" s="167" t="s">
        <v>1185</v>
      </c>
      <c r="D12" s="168">
        <v>46048</v>
      </c>
      <c r="E12" s="167">
        <v>13300</v>
      </c>
      <c r="F12" s="169" t="s">
        <v>1183</v>
      </c>
      <c r="G12" s="167" t="s">
        <v>1186</v>
      </c>
    </row>
    <row r="13" spans="2:7" ht="19.5" customHeight="1">
      <c r="B13" s="167" t="s">
        <v>719</v>
      </c>
      <c r="C13" s="167" t="s">
        <v>1187</v>
      </c>
      <c r="D13" s="168">
        <v>46048</v>
      </c>
      <c r="E13" s="167">
        <v>10500</v>
      </c>
      <c r="F13" s="169" t="s">
        <v>1183</v>
      </c>
      <c r="G13" s="167"/>
    </row>
    <row r="14" spans="2:7" ht="19.5" customHeight="1">
      <c r="B14" s="167" t="s">
        <v>719</v>
      </c>
      <c r="C14" s="167" t="s">
        <v>1188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1189</v>
      </c>
      <c r="D5" s="213"/>
      <c r="E5" s="213"/>
      <c r="F5" s="213"/>
      <c r="G5" s="213"/>
      <c r="H5" s="213"/>
      <c r="I5" s="213"/>
      <c r="J5" s="214"/>
      <c r="K5" s="215" t="s">
        <v>1190</v>
      </c>
      <c r="L5" s="216"/>
      <c r="M5" s="216"/>
      <c r="N5" s="216"/>
      <c r="O5" s="217" t="s">
        <v>1191</v>
      </c>
      <c r="P5" s="218"/>
    </row>
    <row r="6" spans="1:16" s="74" customFormat="1" ht="15" customHeight="1">
      <c r="A6" s="66" t="s">
        <v>1192</v>
      </c>
      <c r="B6" s="75" t="s">
        <v>1193</v>
      </c>
      <c r="C6" s="76" t="s">
        <v>967</v>
      </c>
      <c r="D6" s="77" t="s">
        <v>968</v>
      </c>
      <c r="E6" s="76" t="s">
        <v>1194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1195</v>
      </c>
      <c r="M6" s="80" t="s">
        <v>586</v>
      </c>
      <c r="N6" s="81" t="s">
        <v>962</v>
      </c>
      <c r="O6" s="158" t="s">
        <v>1005</v>
      </c>
      <c r="P6" s="133" t="s">
        <v>1196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Sem Oportunidade de faixa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ZWW-ZKW</v>
      </c>
      <c r="H92" s="116">
        <f>IF(SP_SUL!K92="","*",SP_SUL!K92)</f>
        <v>95.385000000000005</v>
      </c>
      <c r="I92" s="113">
        <f>IF(SP_SUL!O92="","*",SP_SUL!O92)</f>
        <v>0.39583333333333331</v>
      </c>
      <c r="J92" s="113">
        <f>IF(SP_SUL!P92="","*",SP_SUL!P92)</f>
        <v>8.3333333333333329E-2</v>
      </c>
      <c r="K92" s="83" t="str">
        <f>IF(SP_SUL!AK92="","*",SP_SUL!AK92)</f>
        <v>102ZKW2</v>
      </c>
      <c r="L92" s="83" t="str">
        <f>IF(SP_SUL!AM92="","*",SP_SUL!AM92)</f>
        <v>ZWW-ZKW</v>
      </c>
      <c r="M92" s="83">
        <f>IF(SP_SUL!AP92="","*",SP_SUL!AP92)</f>
        <v>95.385000000000005</v>
      </c>
      <c r="N92" s="83" t="str">
        <f>IF(SP_SUL!AM92="","*",SP_SUL!AM92)</f>
        <v>ZWW-ZKW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Contrato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W62</v>
      </c>
      <c r="F100" s="83" t="str">
        <f>IF(SP_SUL!H100="","*",SP_SUL!H100)</f>
        <v>ZPTZDR</v>
      </c>
      <c r="G100" s="83" t="str">
        <f>IF(SP_SUL!M100="","*",SP_SUL!M100)</f>
        <v>ZPG</v>
      </c>
      <c r="H100" s="116">
        <f>IF(SP_SUL!K100="","*",SP_SUL!K100)</f>
        <v>125</v>
      </c>
      <c r="I100" s="113">
        <f>IF(SP_SUL!O100="","*",SP_SUL!O100)</f>
        <v>0.33333333333333331</v>
      </c>
      <c r="J100" s="113">
        <f>IF(SP_SUL!P100="","*",SP_SUL!P100)</f>
        <v>6.25E-2</v>
      </c>
      <c r="K100" s="83" t="str">
        <f>IF(SP_SUL!AK100="","*",SP_SUL!AK100)</f>
        <v>ZPTZDR</v>
      </c>
      <c r="L100" s="83" t="str">
        <f>IF(SP_SUL!AM100="","*",SP_SUL!AM100)</f>
        <v>ZPG</v>
      </c>
      <c r="M100" s="83">
        <f>IF(SP_SUL!AP100="","*",SP_SUL!AP100)</f>
        <v>125</v>
      </c>
      <c r="N100" s="83" t="str">
        <f>IF(SP_SUL!AM100="","*",SP_SUL!AM100)</f>
        <v>ZPG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SP SUL</v>
      </c>
      <c r="D101" s="83" t="str">
        <f>IF(SP_SUL!T101="","*",SP_SUL!T101)</f>
        <v>ZPT-ZPG</v>
      </c>
      <c r="E101" s="83" t="str">
        <f>IF(SP_SUL!D101="","*",SP_SUL!D101)</f>
        <v>W62</v>
      </c>
      <c r="F101" s="83" t="str">
        <f>IF(SP_SUL!H101="","*",SP_SUL!H101)</f>
        <v>ZPTZDR</v>
      </c>
      <c r="G101" s="83" t="str">
        <f>IF(SP_SUL!M101="","*",SP_SUL!M101)</f>
        <v>ZPG</v>
      </c>
      <c r="H101" s="116">
        <f>IF(SP_SUL!K101="","*",SP_SUL!K101)</f>
        <v>125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ZPTZDR</v>
      </c>
      <c r="L101" s="83" t="str">
        <f>IF(SP_SUL!AM101="","*",SP_SUL!AM101)</f>
        <v>ZPG</v>
      </c>
      <c r="M101" s="83">
        <f>IF(SP_SUL!AP101="","*",SP_SUL!AP101)</f>
        <v>125</v>
      </c>
      <c r="N101" s="83" t="str">
        <f>IF(SP_SUL!AM101="","*",SP_SUL!AM101)</f>
        <v>ZPG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1197</v>
      </c>
      <c r="V1" s="224"/>
      <c r="W1" s="224"/>
    </row>
    <row r="2" spans="1:23" ht="15" customHeight="1">
      <c r="A2" s="87" t="s">
        <v>1198</v>
      </c>
      <c r="B2" s="87" t="s">
        <v>1193</v>
      </c>
      <c r="C2" s="87" t="s">
        <v>386</v>
      </c>
      <c r="D2" s="88" t="s">
        <v>967</v>
      </c>
      <c r="E2" s="88" t="s">
        <v>4</v>
      </c>
      <c r="F2" s="88" t="s">
        <v>1192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1199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 t="str">
        <f>IF(SP_SUL!B80="","*",SP_SUL!B80)</f>
        <v>*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 t="str">
        <f>IF(SP_SUL!B82="","*",SP_SUL!B82)</f>
        <v>*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TRILHEIRO - DESCARGA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ZWW-ZKW</v>
      </c>
      <c r="L89" s="139" t="str">
        <f>IF(SP_SUL!N92="","*",SP_SUL!N92)</f>
        <v>ZKW2/102ZKW2</v>
      </c>
      <c r="M89" s="140">
        <f>IF(SP_SUL!J92="","*",SP_SUL!J92)</f>
        <v>55</v>
      </c>
      <c r="N89" s="144">
        <f>IF(SP_SUL!K92="","*",SP_SUL!K92)</f>
        <v>95.385000000000005</v>
      </c>
      <c r="O89" s="144">
        <f>IF(SP_SUL!L92="","*",SP_SUL!L92)</f>
        <v>99.831000000000003</v>
      </c>
      <c r="P89" s="143">
        <f>IF(SP_SUL!O92="","*",SP_SUL!O92)</f>
        <v>0.39583333333333331</v>
      </c>
      <c r="Q89" s="143">
        <f>IF(SP_SUL!P92="","*",SP_SUL!P92)</f>
        <v>8.3333333333333329E-2</v>
      </c>
      <c r="R89" s="145" t="str">
        <f>IF(SP_SUL!Q92="","*",CONCATENATE(SP_SUL!Q92," ",SP_SUL!R92))</f>
        <v>1248 M</v>
      </c>
      <c r="S89" s="145" t="str">
        <f>IF(SP_SUL!V92="","*",SP_SUL!V92)</f>
        <v xml:space="preserve">Felipe </v>
      </c>
      <c r="T89" s="145" t="str">
        <f>IF(SP_SUL!W92="","*",SP_SUL!W92)</f>
        <v>Descarga de trilho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 t="str">
        <f>IF(SP_SUL!B98="","*",SP_SUL!B98)</f>
        <v>*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Contrato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 t="str">
        <f>IF(SP_SUL!B99="","*",SP_SUL!B99)</f>
        <v>*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 t="str">
        <f>IF(SP_SUL!B100="","*",SP_SUL!B100)</f>
        <v>*</v>
      </c>
      <c r="G97" s="145" t="str">
        <f>IF(SP_SUL!D100="","*",SP_SUL!D100)</f>
        <v>W62</v>
      </c>
      <c r="H97" s="145" t="str">
        <f>IF(SP_SUL!F100="","*",SP_SUL!F100)</f>
        <v>RECOLHIMENTO DE DORMENTE</v>
      </c>
      <c r="I97" s="145" t="str">
        <f>IF(SP_SUL!H100="","*",SP_SUL!H100)</f>
        <v>ZPTZDR</v>
      </c>
      <c r="J97" s="145" t="str">
        <f>IF(SP_SUL!I100="","*",SP_SUL!I100)</f>
        <v>ZPTZDR</v>
      </c>
      <c r="K97" s="139" t="str">
        <f>IF(SP_SUL!M100="","*",SP_SUL!M100)</f>
        <v>ZPG</v>
      </c>
      <c r="L97" s="139" t="str">
        <f>IF(SP_SUL!N100="","*",SP_SUL!N100)</f>
        <v>ZPGRUM2</v>
      </c>
      <c r="M97" s="140">
        <f>IF(SP_SUL!J100="","*",SP_SUL!J100)</f>
        <v>53</v>
      </c>
      <c r="N97" s="144">
        <f>IF(SP_SUL!K100="","*",SP_SUL!K100)</f>
        <v>125</v>
      </c>
      <c r="O97" s="144">
        <f>IF(SP_SUL!L100="","*",SP_SUL!L100)</f>
        <v>125.4</v>
      </c>
      <c r="P97" s="143">
        <f>IF(SP_SUL!O100="","*",SP_SUL!O100)</f>
        <v>0.33333333333333331</v>
      </c>
      <c r="Q97" s="143">
        <f>IF(SP_SUL!P100="","*",SP_SUL!P100)</f>
        <v>6.25E-2</v>
      </c>
      <c r="R97" s="145" t="str">
        <f>IF(SP_SUL!Q100="","*",CONCATENATE(SP_SUL!Q100," ",SP_SUL!R100))</f>
        <v>300 Nº DE PEÇAS</v>
      </c>
      <c r="S97" s="145" t="str">
        <f>IF(SP_SUL!V100="","*",SP_SUL!V100)</f>
        <v>Moises</v>
      </c>
      <c r="T97" s="145" t="str">
        <f>IF(SP_SUL!W100="","*",SP_SUL!W100)</f>
        <v xml:space="preserve">Recolhimento de dormentes  </v>
      </c>
      <c r="U97" s="137">
        <f ca="1">_xlfn.XLOOKUP(G97&amp;$U$2,BS_CONTROLE[CHAVE],BS_CONTROLE[Quantidade_11],"-")</f>
        <v>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ZPT-ZPG</v>
      </c>
      <c r="F98" s="145" t="str">
        <f>IF(SP_SUL!B101="","*",SP_SUL!B101)</f>
        <v>*</v>
      </c>
      <c r="G98" s="145" t="str">
        <f>IF(SP_SUL!D101="","*",SP_SUL!D101)</f>
        <v>W62</v>
      </c>
      <c r="H98" s="145" t="str">
        <f>IF(SP_SUL!F101="","*",SP_SUL!F101)</f>
        <v>RECOLHIMENTO DE DORMENTE</v>
      </c>
      <c r="I98" s="145" t="str">
        <f>IF(SP_SUL!H101="","*",SP_SUL!H101)</f>
        <v>ZPTZDR</v>
      </c>
      <c r="J98" s="145" t="str">
        <f>IF(SP_SUL!I101="","*",SP_SUL!I101)</f>
        <v>ZPTZDR</v>
      </c>
      <c r="K98" s="139" t="str">
        <f>IF(SP_SUL!M101="","*",SP_SUL!M101)</f>
        <v>ZPG</v>
      </c>
      <c r="L98" s="139" t="str">
        <f>IF(SP_SUL!N101="","*",SP_SUL!N101)</f>
        <v>ZPGRUM2</v>
      </c>
      <c r="M98" s="140">
        <f>IF(SP_SUL!J101="","*",SP_SUL!J101)</f>
        <v>53</v>
      </c>
      <c r="N98" s="144">
        <f>IF(SP_SUL!K101="","*",SP_SUL!K101)</f>
        <v>125</v>
      </c>
      <c r="O98" s="144">
        <f>IF(SP_SUL!L101="","*",SP_SUL!L101)</f>
        <v>125.4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300 Nº DE PEÇAS</v>
      </c>
      <c r="S98" s="145" t="str">
        <f>IF(SP_SUL!V101="","*",SP_SUL!V101)</f>
        <v>*</v>
      </c>
      <c r="T98" s="145" t="str">
        <f>IF(SP_SUL!W101="","*",SP_SUL!W101)</f>
        <v>*</v>
      </c>
      <c r="U98" s="137">
        <f ca="1">_xlfn.XLOOKUP(G98&amp;$U$2,BS_CONTROLE[CHAVE],BS_CONTROLE[Quantidade_11],"-")</f>
        <v>1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1200</v>
      </c>
      <c r="C2" s="121" t="s">
        <v>952</v>
      </c>
      <c r="D2" s="76" t="s">
        <v>954</v>
      </c>
      <c r="E2" s="76" t="s">
        <v>1201</v>
      </c>
      <c r="F2" s="99" t="s">
        <v>1202</v>
      </c>
      <c r="G2" s="76" t="s">
        <v>1203</v>
      </c>
      <c r="H2" s="76" t="s">
        <v>1204</v>
      </c>
      <c r="I2" s="76" t="s">
        <v>1205</v>
      </c>
      <c r="J2" s="76" t="s">
        <v>1206</v>
      </c>
      <c r="K2" s="78" t="s">
        <v>1207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ZWW-ZKW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W62</v>
      </c>
      <c r="E96" s="94" t="str">
        <f>IF(SP_SUL!H100="","*",SP_SUL!H100)</f>
        <v>ZPTZDR</v>
      </c>
      <c r="F96" s="100" t="str">
        <f>IF(SP_SUL!M100="","*",SP_SUL!M100)</f>
        <v>ZPG</v>
      </c>
      <c r="G96" s="95" t="str">
        <f>IF(SP_SUL!I100="","*",SP_SUL!I100)</f>
        <v>ZPTZDR</v>
      </c>
      <c r="H96" s="95" t="str">
        <f>IF(SP_SUL!AB100="","*",SP_SUL!AB100)</f>
        <v>FIXO + ESCALA</v>
      </c>
      <c r="I96" s="95" t="str">
        <f>IF(SP_SUL!AC100="","*",SP_SUL!AC100)</f>
        <v>AGD ACIONAMENTO PCM</v>
      </c>
      <c r="J96" s="96" t="str">
        <f>IF(SP_SUL!AA100="","*",SP_SUL!AA100)</f>
        <v>2 (FIXO + ESCALA)</v>
      </c>
      <c r="K96" s="97">
        <f>IF(SP_SUL!AD100="","*",SP_SUL!AD100)</f>
        <v>0.3125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W62</v>
      </c>
      <c r="E97" s="94" t="str">
        <f>IF(SP_SUL!H101="","*",SP_SUL!H101)</f>
        <v>ZPTZDR</v>
      </c>
      <c r="F97" s="100" t="str">
        <f>IF(SP_SUL!M101="","*",SP_SUL!M101)</f>
        <v>ZPG</v>
      </c>
      <c r="G97" s="95" t="str">
        <f>IF(SP_SUL!I101="","*",SP_SUL!I101)</f>
        <v>ZPTZDR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2026-02-03T16:26:43Z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