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004" documentId="8_{B6337239-1A00-434D-AAD0-422EA1FEB5AE}" xr6:coauthVersionLast="47" xr6:coauthVersionMax="47" xr10:uidLastSave="{80B2DA2A-F3AA-47DB-8C7E-0423589C223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59" i="1" l="1"/>
  <c r="BT157" i="1"/>
  <c r="BT156" i="1"/>
  <c r="BT153" i="1"/>
  <c r="BT152" i="1"/>
  <c r="BT150" i="1"/>
  <c r="BT147" i="1"/>
  <c r="BT146" i="1"/>
  <c r="N159" i="1" a="1"/>
  <c r="N159" i="1"/>
  <c r="M174" i="1" a="1"/>
  <c r="M174" i="1"/>
  <c r="N174" i="1" a="1"/>
  <c r="N174" i="1"/>
  <c r="M175" i="1" a="1"/>
  <c r="M175" i="1"/>
  <c r="N175" i="1" a="1"/>
  <c r="N175" i="1"/>
  <c r="M176" i="1" a="1"/>
  <c r="M176" i="1"/>
  <c r="N176" i="1" a="1"/>
  <c r="N176" i="1"/>
  <c r="S174" i="1" a="1"/>
  <c r="S174" i="1"/>
  <c r="T174" i="1" a="1"/>
  <c r="T174" i="1"/>
  <c r="S175" i="1" a="1"/>
  <c r="S175" i="1"/>
  <c r="T175" i="1" a="1"/>
  <c r="T175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C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C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C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C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K169" i="16"/>
  <c r="L169" i="16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K171" i="16"/>
  <c r="L171" i="16"/>
  <c r="R173" i="1"/>
  <c r="S173" i="1" a="1"/>
  <c r="S173" i="1" s="1"/>
  <c r="D171" i="16" s="1"/>
  <c r="T173" i="1" a="1"/>
  <c r="T173" i="1" s="1"/>
  <c r="E171" i="16" s="1"/>
  <c r="AI173" i="1"/>
  <c r="BB173" i="1" s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K172" i="16"/>
  <c r="L172" i="16"/>
  <c r="R174" i="1"/>
  <c r="D172" i="16"/>
  <c r="E172" i="16"/>
  <c r="AI174" i="1"/>
  <c r="BB174" i="1" s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K173" i="16"/>
  <c r="L173" i="16"/>
  <c r="R175" i="1"/>
  <c r="D173" i="16"/>
  <c r="E173" i="16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K174" i="16"/>
  <c r="L174" i="16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3" i="1" l="1"/>
  <c r="AJ174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BB153" i="1"/>
  <c r="AJ153" i="1"/>
  <c r="BE153" i="1"/>
  <c r="BD153" i="1" a="1"/>
  <c r="BD153" i="1" s="1"/>
  <c r="AJ162" i="1"/>
  <c r="U146" i="16"/>
  <c r="U147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<sst xmlns="http://schemas.openxmlformats.org/spreadsheetml/2006/main" count="6075" uniqueCount="1649">
  <si>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</si>
  <si>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</si>
  <si>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</si>
  <si>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</si>
  <si>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</si>
  <si>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</si>
  <si>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</si>
  <si>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</si>
  <si>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</si>
  <si>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</si>
  <si>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</si>
  <si>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</si>
  <si>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</si>
  <si>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</si>
  <si>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</si>
  <si>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</si>
  <si>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</si>
  <si>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</si>
  <si>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</si>
  <si>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</si>
  <si>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</si>
  <si>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</si>
  <si>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</si>
  <si>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</si>
  <si>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</si>
  <si>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</si>
  <si>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</si>
  <si>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</si>
  <si>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</si>
  <si>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</si>
  <si>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</si>
  <si>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</si>
  <si>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</si>
  <si>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</si>
  <si>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</si>
  <si>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</si>
  <si>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</si>
  <si>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</si>
  <si>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</si>
  <si>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</si>
  <si>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</si>
  <si>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</si>
  <si>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</si>
  <si>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</si>
  <si>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</si>
  <si>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</si>
  <si>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</si>
  <si>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</si>
  <si>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</si>
  <si>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</si>
  <si>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</si>
  <si>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</si>
  <si>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</si>
  <si>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</si>
  <si>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</si>
  <si>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</si>
  <si>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</si>
  <si>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</si>
  <si>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</si>
  <si>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</si>
  <si>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</si>
  <si>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</si>
  <si>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</si>
  <si>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</si>
  <si>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</si>
  <si>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</si>
  <si>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</si>
  <si>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</si>
  <si>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</si>
  <si>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</si>
  <si>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</si>
  <si>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</si>
  <si>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</si>
  <si>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</si>
  <si>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</si>
  <si>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</si>
  <si>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</si>
  <si>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</si>
  <si>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</si>
  <si>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</si>
  <si>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</si>
  <si>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</si>
  <si>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</si>
  <si>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</si>
  <si>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</si>
  <si>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</si>
  <si>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</si>
  <si>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</si>
  <si>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</si>
  <si>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</si>
  <si>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</si>
  <si>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</si>
  <si>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</si>
  <si>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</si>
  <si>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</si>
  <si>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</si>
  <si>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</si>
  <si>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</si>
  <si>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</si>
  <si>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</si>
  <si>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</si>
  <si>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</si>
  <si>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</si>
  <si>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</si>
  <si>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</si>
  <si>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</si>
  <si>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</si>
  <si>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</si>
  <si>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</si>
  <si>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</si>
  <si>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</si>
  <si>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</si>
  <si>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</si>
  <si>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</si>
  <si>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</si>
  <si>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</si>
  <si>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</si>
  <si>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</si>
  <si>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</si>
  <si>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</si>
  <si>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</si>
  <si>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</si>
  <si>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</si>
  <si>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</si>
  <si>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</si>
  <si>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</si>
  <si>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</si>
  <si>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</si>
  <si>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</si>
  <si>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</si>
  <si>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</si>
  <si>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</si>
  <si>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</si>
  <si>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</si>
  <si>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</si>
  <si>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</si>
  <si>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</si>
  <si>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</si>
  <si>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</si>
  <si>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</si>
  <si>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</si>
  <si>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</si>
  <si>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</si>
  <si>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</si>
  <si>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</si>
  <si>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</si>
  <si>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</si>
  <si>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</si>
  <si>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</si>
  <si>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</si>
  <si>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</si>
  <si>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</si>
  <si>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</si>
  <si>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</si>
  <si>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</si>
  <si>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</si>
  <si>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</si>
  <si>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</si>
  <si>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</si>
  <si>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</si>
  <si>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</si>
  <si>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</si>
  <si>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</si>
  <si>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</si>
  <si>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</si>
  <si>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</si>
  <si>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</si>
  <si>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</si>
  <si>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</si>
  <si>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</si>
  <si>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</si>
  <si>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</si>
  <si>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</si>
  <si>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</si>
  <si>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</si>
  <si>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</si>
  <si>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</si>
  <si>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</si>
  <si>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</si>
  <si>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</si>
  <si>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</si>
  <si>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</si>
  <si>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</si>
  <si>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</si>
  <si>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</si>
  <si>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</si>
  <si>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</si>
  <si>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</si>
  <si>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</si>
  <si>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</si>
  <si>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</si>
  <si>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</si>
  <si>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</si>
  <si>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</si>
  <si>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</si>
  <si>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</si>
  <si>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</si>
  <si>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</si>
  <si>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</si>
  <si>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</si>
  <si>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</si>
  <si>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</si>
  <si>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</si>
  <si>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</si>
  <si>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</si>
  <si>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</si>
  <si>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</si>
  <si>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</si>
  <si>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</si>
  <si>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</si>
  <si>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</si>
  <si>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</si>
  <si>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</si>
  <si>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</si>
  <si>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</si>
  <si>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</si>
  <si>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</si>
  <si>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</si>
  <si>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</si>
  <si>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</si>
  <si>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</si>
  <si>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</si>
  <si>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</si>
  <si>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</si>
  <si>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</si>
  <si>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</si>
  <si>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</si>
  <si>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</si>
  <si>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</si>
  <si>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</si>
  <si>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</si>
  <si>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</si>
  <si>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</si>
  <si>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</si>
  <si>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</si>
  <si>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</si>
  <si>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</si>
  <si>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</si>
  <si>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</si>
  <si>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</si>
  <si>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</si>
  <si>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</si>
  <si>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</si>
  <si>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</si>
  <si>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</si>
  <si>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</si>
  <si>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</si>
  <si>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</si>
  <si>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</si>
  <si>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</si>
  <si>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</si>
  <si>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</si>
  <si>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</si>
  <si>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</si>
  <si>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</si>
  <si>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</si>
  <si>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</si>
  <si>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</si>
  <si>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</si>
  <si>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</si>
  <si>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</si>
  <si>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</si>
  <si>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</si>
  <si>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</si>
  <si>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</si>
  <si>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</si>
  <si>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</si>
  <si>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</si>
  <si>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</si>
  <si>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</si>
  <si>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</si>
  <si>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</si>
  <si>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</si>
  <si>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</si>
  <si>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</si>
  <si>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</si>
  <si>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</si>
  <si>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</si>
  <si>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</si>
  <si>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</si>
  <si>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</si>
  <si>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</si>
  <si>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</si>
  <si>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</si>
  <si>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</si>
  <si>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</si>
  <si>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</si>
  <si>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</si>
  <si>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</si>
  <si>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</si>
  <si>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</si>
  <si>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</si>
  <si>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</si>
  <si>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</si>
  <si>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</si>
  <si>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</si>
  <si>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</si>
  <si>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</si>
  <si>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</si>
  <si>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</si>
  <si>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</si>
  <si>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</si>
  <si>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</si>
  <si>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</si>
  <si>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</si>
  <si>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</si>
  <si>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</si>
  <si>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</si>
  <si>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</si>
  <si>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</si>
  <si>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</si>
  <si>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</si>
  <si>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</si>
  <si>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</si>
  <si>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</si>
  <si>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</si>
  <si>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</si>
  <si>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</si>
  <si>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</si>
  <si>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</si>
  <si>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</si>
  <si>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</si>
  <si>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</si>
  <si>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</si>
  <si>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</si>
  <si>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</si>
  <si>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</si>
  <si>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</si>
  <si>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</si>
  <si>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</si>
  <si>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</si>
  <si>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</si>
  <si>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</si>
  <si>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</si>
  <si>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</si>
  <si>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</si>
  <si>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</si>
  <si>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</si>
  <si>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</si>
  <si>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</si>
  <si>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</si>
  <si>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</si>
  <si>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</si>
  <si>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</si>
  <si>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</si>
  <si>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</si>
  <si>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</si>
  <si>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</si>
  <si>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</si>
  <si>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</si>
  <si>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</si>
  <si>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</si>
  <si>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</si>
  <si>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</si>
  <si>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</si>
  <si>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</si>
  <si>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</si>
  <si>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</si>
  <si>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</si>
  <si>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</si>
  <si>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</si>
  <si>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</si>
  <si>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</si>
  <si>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</si>
  <si>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</si>
  <si>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</si>
  <si>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</si>
  <si>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</si>
  <si>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</si>
  <si>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</si>
  <si>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</si>
  <si>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</si>
  <si>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</si>
  <si>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</si>
  <si>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</si>
  <si>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</si>
  <si>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</si>
  <si>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</si>
  <si>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</si>
  <si>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</si>
  <si>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</si>
  <si>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</si>
  <si>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</si>
  <si>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</si>
  <si>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</si>
  <si>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</si>
  <si>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</si>
  <si>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</si>
  <si>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</si>
  <si>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</si>
  <si>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</si>
  <si>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</si>
  <si>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</si>
  <si>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</si>
  <si>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</si>
  <si>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</si>
  <si>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</si>
  <si>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</si>
  <si>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</si>
  <si>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</si>
  <si>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</si>
  <si>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</si>
  <si>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</si>
  <si>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</si>
  <si>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</si>
  <si>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</si>
  <si>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</si>
  <si>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</si>
  <si>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</si>
  <si>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</si>
  <si>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</si>
  <si>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</si>
  <si>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</si>
  <si>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</si>
  <si>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</si>
  <si>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</si>
  <si>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</si>
  <si>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</si>
  <si>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</si>
  <si>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</si>
  <si>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</si>
  <si>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</si>
  <si>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</si>
  <si>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</si>
  <si>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</si>
  <si>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</si>
  <si>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</si>
  <si>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</si>
  <si>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</si>
  <si>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</si>
  <si>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</si>
  <si>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</si>
  <si>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</si>
  <si>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</si>
  <si>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</si>
  <si>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</si>
  <si>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</si>
  <si>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</si>
  <si>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</si>
  <si>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</si>
  <si>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</si>
  <si>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</si>
  <si>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</si>
  <si>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</si>
  <si>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</si>
  <si>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</si>
  <si>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</si>
  <si>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</si>
  <si>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</si>
  <si>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</si>
  <si>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</si>
  <si>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</si>
  <si>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</si>
  <si>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</si>
  <si>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</si>
  <si>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</si>
  <si>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</si>
  <si>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</si>
  <si>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</si>
  <si>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</si>
  <si>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</si>
  <si>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</si>
  <si>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</si>
  <si>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</si>
  <si>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</si>
  <si>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</si>
  <si>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</si>
  <si>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</si>
  <si>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</si>
  <si>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</si>
  <si>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</si>
  <si>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</si>
  <si>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</si>
  <si>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</si>
  <si>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</si>
  <si>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</si>
  <si>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</si>
  <si>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</si>
  <si>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</si>
  <si>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</si>
  <si>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</si>
  <si>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</si>
  <si>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</si>
  <si>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</si>
  <si>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</si>
  <si>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</si>
  <si>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</si>
  <si>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</si>
  <si>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</si>
  <si>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</si>
  <si>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</si>
  <si>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</si>
  <si>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</si>
  <si>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</si>
  <si>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</si>
  <si>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</si>
  <si>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</si>
  <si>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</si>
  <si>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</si>
  <si>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</si>
  <si>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</si>
  <si>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</si>
  <si>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</si>
  <si>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</si>
  <si>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</si>
  <si>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</si>
  <si>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</si>
  <si>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</si>
  <si>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</si>
  <si>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</si>
  <si>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</si>
  <si>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</si>
  <si>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</si>
  <si>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</si>
  <si>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</si>
  <si>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</si>
  <si>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</si>
  <si>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</si>
  <si>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</si>
  <si>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</si>
  <si>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</si>
  <si>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</si>
  <si>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</si>
  <si>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</si>
  <si>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</si>
  <si>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</si>
  <si>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</si>
  <si>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</si>
  <si>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</si>
  <si>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</si>
  <si>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</si>
  <si>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</si>
  <si>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</si>
  <si>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</si>
  <si>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</si>
  <si>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</si>
  <si>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</si>
  <si>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</si>
  <si>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</si>
  <si>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</si>
  <si>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</si>
  <si>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</si>
  <si>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</si>
  <si>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</si>
  <si>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</si>
  <si>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</si>
  <si>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</si>
  <si>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</si>
  <si>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</si>
  <si>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</si>
  <si>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</si>
  <si>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</si>
  <si>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</si>
  <si>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</si>
  <si>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</si>
  <si>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</si>
  <si>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</si>
  <si>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</si>
  <si>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</si>
  <si>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</si>
  <si>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</si>
  <si>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</si>
  <si>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</si>
  <si>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</si>
  <si>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</si>
  <si>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</si>
  <si>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</si>
  <si>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</si>
  <si>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</si>
  <si>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</si>
  <si>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</si>
  <si>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</si>
  <si>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</si>
  <si>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</si>
  <si>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</si>
  <si>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</si>
  <si>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</si>
  <si>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</si>
  <si>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</si>
  <si>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</si>
  <si>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</si>
  <si>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</si>
  <si>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</si>
  <si>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</si>
  <si>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</si>
  <si>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</si>
  <si>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</si>
  <si>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</si>
  <si>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</si>
  <si>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</si>
  <si>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</si>
  <si>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</si>
  <si>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</si>
  <si>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</si>
  <si>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</si>
  <si>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</si>
  <si>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</si>
  <si>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</si>
  <si>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</si>
  <si>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</si>
  <si>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</si>
  <si>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</si>
  <si>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</si>
  <si>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</si>
  <si>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</si>
  <si>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</si>
  <si>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</si>
  <si>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</si>
  <si>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</si>
  <si>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</si>
  <si>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</si>
  <si>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</si>
  <si>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</si>
  <si>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</si>
  <si>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</si>
  <si>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</si>
  <si>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</si>
  <si>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</si>
  <si>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</si>
  <si>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</si>
  <si>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</si>
  <si>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</si>
  <si>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</si>
  <si>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</si>
  <si>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</si>
  <si>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</si>
  <si>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</si>
  <si>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</si>
  <si>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</si>
  <si>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</si>
  <si>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</si>
  <si>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</si>
  <si>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</si>
  <si>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</si>
  <si>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</si>
  <si>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</si>
  <si>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</si>
  <si>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</si>
  <si>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</si>
  <si>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</si>
  <si>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</si>
  <si>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</si>
  <si>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</si>
  <si>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</si>
  <si>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</si>
  <si>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</si>
  <si>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</si>
  <si>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</si>
  <si>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</si>
  <si>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</si>
  <si>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</si>
  <si>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</si>
  <si>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</si>
  <si>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</si>
  <si>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</si>
  <si>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</si>
  <si>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</si>
  <si>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</si>
  <si>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</si>
  <si>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</si>
  <si>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</si>
  <si>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</si>
  <si>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</si>
  <si>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</si>
  <si>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</si>
  <si>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</si>
  <si>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</si>
  <si>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</si>
  <si>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</si>
  <si>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</si>
  <si>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</si>
  <si>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</si>
  <si>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</si>
  <si>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</si>
  <si>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</si>
  <si>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</si>
  <si>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</si>
  <si>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</si>
  <si>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</si>
  <si>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</si>
  <si>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</si>
  <si>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</si>
  <si>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</si>
  <si>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</si>
  <si>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</si>
  <si>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</si>
  <si>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</si>
  <si>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</si>
  <si>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</si>
  <si>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</si>
  <si>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</si>
  <si>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</si>
  <si>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</si>
  <si>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</si>
  <si>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</si>
  <si>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</si>
  <si>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</si>
  <si>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</si>
  <si>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</si>
  <si>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</si>
  <si>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</si>
  <si>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</si>
  <si>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</si>
  <si>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</si>
  <si>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</si>
  <si>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</si>
  <si>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</si>
  <si>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</si>
  <si>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</si>
  <si>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</si>
  <si>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</si>
  <si>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</si>
  <si>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</si>
  <si>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</si>
  <si>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</si>
  <si>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</si>
  <si>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</si>
  <si>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</si>
  <si>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</si>
  <si>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</si>
  <si>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</si>
  <si>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</si>
  <si>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</si>
  <si>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</si>
  <si>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</si>
  <si>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</si>
  <si>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</si>
  <si>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</si>
  <si>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</si>
  <si>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</si>
  <si>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</si>
  <si>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</si>
  <si>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</si>
  <si>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</si>
  <si>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</si>
  <si>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</si>
  <si>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</si>
  <si>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</si>
  <si>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</si>
  <si>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</si>
  <si>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</si>
  <si>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</si>
  <si>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</si>
  <si>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</si>
  <si>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</si>
  <si>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</si>
  <si>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</si>
  <si>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</si>
  <si>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</si>
  <si>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</si>
  <si>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</si>
  <si>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</si>
  <si>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</si>
  <si>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</si>
  <si>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</si>
  <si>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</si>
  <si>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</si>
  <si>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</si>
  <si>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</si>
  <si>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</si>
  <si>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</si>
  <si>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</si>
  <si>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</si>
  <si>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</si>
  <si>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</si>
  <si>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</si>
  <si>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</si>
  <si>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</si>
  <si>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</si>
  <si>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</si>
  <si>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</si>
  <si>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</si>
  <si>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</si>
  <si>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</si>
  <si>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</si>
  <si>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</si>
  <si>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</si>
  <si>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</si>
  <si>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</si>
  <si>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</si>
  <si>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</si>
  <si>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</si>
  <si>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</si>
  <si>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</si>
  <si>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</si>
  <si>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</si>
  <si>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</si>
  <si>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</si>
  <si>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</si>
  <si>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</si>
  <si>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</si>
  <si>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</si>
  <si>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</si>
  <si>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</si>
  <si>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</si>
  <si>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</si>
  <si>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</si>
  <si>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</si>
  <si>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</si>
  <si>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</si>
  <si>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</si>
  <si>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</si>
  <si>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</si>
  <si>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</si>
  <si>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</si>
  <si>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</si>
  <si>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</si>
  <si>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</si>
  <si>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</si>
  <si>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</si>
  <si>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</si>
  <si>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</si>
  <si>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</si>
  <si>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</si>
  <si>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</si>
  <si>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</si>
  <si>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</si>
  <si>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</si>
  <si>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</si>
  <si>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</si>
  <si>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</si>
  <si>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</si>
  <si>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</si>
  <si>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</si>
  <si>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</si>
  <si>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</si>
  <si>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</si>
  <si>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</si>
  <si>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</si>
  <si>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</si>
  <si>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</si>
  <si>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</si>
  <si>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</si>
  <si>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</si>
  <si>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</si>
  <si>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</si>
  <si>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</si>
  <si>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</si>
  <si>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</si>
  <si>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</si>
  <si>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</si>
  <si>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</si>
  <si>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</si>
  <si>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</si>
  <si>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</si>
  <si>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</si>
  <si>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</si>
  <si>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</si>
  <si>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</si>
  <si>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</si>
  <si>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</si>
  <si>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</si>
  <si>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</si>
  <si>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</si>
  <si>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</si>
  <si>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</si>
  <si>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</si>
  <si>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</si>
  <si>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</si>
  <si>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</si>
  <si>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</si>
  <si>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</si>
  <si>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</si>
  <si>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</si>
  <si>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</si>
  <si>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</si>
  <si>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</si>
  <si>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</si>
  <si>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</si>
  <si>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</si>
  <si>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</si>
  <si>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</si>
  <si>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</si>
  <si>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</si>
  <si>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</si>
  <si>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</si>
  <si>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</si>
  <si>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</si>
  <si>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</si>
  <si>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</si>
  <si>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</si>
  <si>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</si>
  <si>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</si>
  <si>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</si>
  <si>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</si>
  <si>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</si>
  <si>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</si>
  <si>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</si>
  <si>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</si>
  <si>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</si>
  <si>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</si>
  <si>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</si>
  <si>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</si>
  <si>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</si>
  <si>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</si>
  <si>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</si>
  <si>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</si>
  <si>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</si>
  <si>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</si>
  <si>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</si>
  <si>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</si>
  <si>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</si>
  <si>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</si>
  <si>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</si>
  <si>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</si>
  <si>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</si>
  <si>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</si>
  <si>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</si>
  <si>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</si>
  <si>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</si>
  <si>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</si>
  <si>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</si>
  <si>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</si>
  <si>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</si>
  <si>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</si>
  <si>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</si>
  <si>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</si>
  <si>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</si>
  <si>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</si>
  <si>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</si>
  <si>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</si>
  <si>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</si>
  <si>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</si>
  <si>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</si>
  <si>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</si>
  <si>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</si>
  <si>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</si>
  <si>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</si>
  <si>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</si>
  <si>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</si>
  <si>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</si>
  <si>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</si>
  <si>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</si>
  <si>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</si>
  <si>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</si>
  <si>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</si>
  <si>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</si>
  <si>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</si>
  <si>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</si>
  <si>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</si>
  <si>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</si>
  <si>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</si>
  <si>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</si>
  <si>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</si>
  <si>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</si>
  <si>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</si>
  <si>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</si>
  <si>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</si>
  <si>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</si>
  <si>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</si>
  <si>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</si>
  <si>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</si>
  <si>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</si>
  <si>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</si>
  <si>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</si>
  <si>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</si>
  <si>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</si>
  <si>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</si>
  <si>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</si>
  <si>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</si>
  <si>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</si>
  <si>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</si>
  <si>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</si>
  <si>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</si>
  <si>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</si>
  <si>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</si>
  <si>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</si>
  <si>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</si>
  <si>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</si>
  <si>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</si>
  <si>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</si>
  <si>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</si>
  <si>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</si>
  <si>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</si>
  <si>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</si>
  <si>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</si>
  <si>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</si>
  <si>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</si>
  <si>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</si>
  <si>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</si>
  <si>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</si>
  <si>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</si>
  <si>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</si>
  <si>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</si>
  <si>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</si>
  <si>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</si>
  <si>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</si>
  <si>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</si>
  <si>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</si>
  <si>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</si>
  <si>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</si>
  <si>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</si>
  <si>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</si>
  <si>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</si>
  <si>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</si>
  <si>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</si>
  <si>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</si>
  <si>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</si>
  <si>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</si>
  <si>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</si>
  <si>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</si>
  <si>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</si>
  <si>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</si>
  <si>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</si>
  <si>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</si>
  <si>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</si>
  <si>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</si>
  <si>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</si>
  <si>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</si>
  <si>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</si>
  <si>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</si>
  <si>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</si>
  <si>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</si>
  <si>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</si>
  <si>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</si>
  <si>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</si>
  <si>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</si>
  <si>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</si>
  <si>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</si>
  <si>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</si>
  <si>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</si>
  <si>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</si>
  <si>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</si>
  <si>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</si>
  <si>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</si>
  <si>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</si>
  <si>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</si>
  <si>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</si>
  <si>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</si>
  <si>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</si>
  <si>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</si>
  <si>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</si>
  <si>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</si>
  <si>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</si>
  <si>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</si>
  <si>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</si>
  <si>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</si>
  <si>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</si>
  <si>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</si>
  <si>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</si>
  <si>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</si>
  <si>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</si>
  <si>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</si>
  <si>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</si>
  <si>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</si>
  <si>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</si>
  <si>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</si>
  <si>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</si>
  <si>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</si>
  <si>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</si>
  <si>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</si>
  <si>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</si>
  <si>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</si>
  <si>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</si>
  <si>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</si>
  <si>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</si>
  <si>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</si>
  <si>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</si>
  <si>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</si>
  <si>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</si>
  <si>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</si>
  <si>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</si>
  <si>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</si>
  <si>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</si>
  <si>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</si>
  <si>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</si>
  <si>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</si>
  <si>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</si>
  <si>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</si>
  <si>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</si>
  <si>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</si>
  <si>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</si>
  <si>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</si>
  <si>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</si>
  <si>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</si>
  <si>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</si>
  <si>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</si>
  <si>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</si>
  <si>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</si>
  <si>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</si>
  <si>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</si>
  <si>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</si>
  <si>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</si>
  <si>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</si>
  <si>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</si>
  <si>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</si>
  <si>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</si>
  <si>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</si>
  <si>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</si>
  <si>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</si>
  <si>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</si>
  <si>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</si>
  <si>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</si>
  <si>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</si>
  <si>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</si>
  <si>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</si>
  <si>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</si>
  <si>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</si>
  <si>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</si>
  <si>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</si>
  <si>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</si>
  <si>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</si>
  <si>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</si>
  <si>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</si>
  <si>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</si>
  <si>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</si>
  <si>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</si>
  <si>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</si>
  <si>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</si>
  <si>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</si>
  <si>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</si>
  <si>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</si>
  <si>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</si>
  <si>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</si>
  <si>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</si>
  <si>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</si>
  <si>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</si>
  <si>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</si>
  <si>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</si>
  <si>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</si>
  <si>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</si>
  <si>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</si>
  <si>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</si>
  <si>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</si>
  <si>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</si>
  <si>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</si>
  <si>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</si>
  <si>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</si>
  <si>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</si>
  <si>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</si>
  <si>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</si>
  <si>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</si>
  <si>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</si>
  <si>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</si>
  <si>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</si>
  <si>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</si>
  <si>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</si>
  <si>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</si>
  <si>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</si>
  <si>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</si>
  <si>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</si>
  <si>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</si>
  <si>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</si>
  <si>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</si>
  <si>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</si>
  <si>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</si>
  <si>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</si>
  <si>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</si>
  <si>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</si>
  <si>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</si>
  <si>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</si>
  <si>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</si>
  <si>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</si>
  <si>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</si>
  <si>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</si>
  <si>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</si>
  <si>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</si>
  <si>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</si>
  <si>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</si>
  <si>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</si>
  <si>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</si>
  <si>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</si>
  <si>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</si>
  <si>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</si>
  <si>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</si>
  <si>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</si>
  <si>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</si>
  <si>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</si>
  <si>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</si>
  <si>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</si>
  <si>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</si>
  <si>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</si>
  <si>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</si>
  <si>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</si>
  <si>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</si>
  <si>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</si>
  <si>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</si>
  <si>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</si>
  <si>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</si>
  <si>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</si>
  <si>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</si>
  <si>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</si>
  <si>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</si>
  <si>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</si>
  <si>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</si>
  <si>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</si>
  <si>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</si>
  <si>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</si>
  <si>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</si>
  <si>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</si>
  <si>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</si>
  <si>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</si>
  <si>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</si>
  <si>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</si>
  <si>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</si>
  <si>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</si>
  <si>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</si>
  <si>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</si>
  <si>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</si>
  <si>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</si>
  <si>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</si>
  <si>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</si>
  <si>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</si>
  <si>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</si>
  <si>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</si>
  <si>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</si>
  <si>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</si>
  <si>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</si>
  <si>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</si>
  <si>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</si>
  <si>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</si>
  <si>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</si>
  <si>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</si>
  <si>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</si>
  <si>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</si>
  <si>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</si>
  <si>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</si>
  <si>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</si>
  <si>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</si>
  <si>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</si>
  <si>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</si>
  <si>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</si>
  <si>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</si>
  <si>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</si>
  <si>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</si>
  <si>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</si>
  <si>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</si>
  <si>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</si>
  <si>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</si>
  <si>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</si>
  <si>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</si>
  <si>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</si>
  <si>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</si>
  <si>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</si>
  <si>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</si>
  <si>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</si>
  <si>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</si>
  <si>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</si>
  <si>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</si>
  <si>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</si>
  <si>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</si>
  <si>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</si>
  <si>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</si>
  <si>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</si>
  <si>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</si>
  <si>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</si>
  <si>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</si>
  <si>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</si>
  <si>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</si>
  <si>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</si>
  <si>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</si>
  <si>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</si>
  <si>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</si>
  <si>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</si>
  <si>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</si>
  <si>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</si>
  <si>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</si>
  <si>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</si>
  <si>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</si>
  <si>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</si>
  <si>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</si>
  <si>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</si>
  <si>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</si>
  <si>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</si>
  <si>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</si>
  <si>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</si>
  <si>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</si>
  <si>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</si>
  <si>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</si>
  <si>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</si>
  <si>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</si>
  <si>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</si>
  <si>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</si>
  <si>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</si>
  <si>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</si>
  <si>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</si>
  <si>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</si>
  <si>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</si>
  <si>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</si>
  <si>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</si>
  <si>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</si>
  <si>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</si>
  <si>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</si>
  <si>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</si>
  <si>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</si>
  <si>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</si>
  <si>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</si>
  <si>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</si>
  <si>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</si>
  <si>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</si>
  <si>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</si>
  <si>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</si>
  <si>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</si>
  <si>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</si>
  <si>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</si>
  <si>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</si>
  <si>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</si>
  <si>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</si>
  <si>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</si>
  <si>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</si>
  <si>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</si>
  <si>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</si>
  <si>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</si>
  <si>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</si>
  <si>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</si>
  <si>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</si>
  <si>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</si>
  <si>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</si>
  <si>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</si>
  <si>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</si>
  <si>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</si>
  <si>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</si>
  <si>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</si>
  <si>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</si>
  <si>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</si>
  <si>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</si>
  <si>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</si>
  <si>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</si>
  <si>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</si>
  <si>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</si>
  <si>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</si>
  <si>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</si>
  <si>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</si>
  <si>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</si>
  <si>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</si>
  <si>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</si>
  <si>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</si>
  <si>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</si>
  <si>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</si>
  <si>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</si>
  <si>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</si>
  <si>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</si>
  <si>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</si>
  <si>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</si>
  <si>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</si>
  <si>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</si>
  <si>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</si>
  <si>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</si>
  <si>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</si>
  <si>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</si>
  <si>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</si>
  <si>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</si>
  <si>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</si>
  <si>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</si>
  <si>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</si>
  <si>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</si>
  <si>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</si>
  <si>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</si>
  <si>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</si>
  <si>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</si>
  <si>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</si>
  <si>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</si>
  <si>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</si>
  <si>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</si>
  <si>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</si>
  <si>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</si>
  <si>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</si>
  <si>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</si>
  <si>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</si>
  <si>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</si>
  <si>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</si>
  <si>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</si>
  <si>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</si>
  <si>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</si>
  <si>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</si>
  <si>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</si>
  <si>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</si>
  <si>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</si>
  <si>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</si>
  <si>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</si>
  <si>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</si>
  <si>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</si>
  <si>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</si>
  <si>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</si>
  <si>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</si>
  <si>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</si>
  <si>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</si>
  <si>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</si>
  <si>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</si>
  <si>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</si>
  <si>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</si>
  <si>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</si>
  <si>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</si>
  <si>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</si>
  <si>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</si>
  <si>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</si>
  <si>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</si>
  <si>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</si>
  <si>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</si>
  <si>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</si>
  <si>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</si>
  <si>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</si>
  <si>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</si>
  <si>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</si>
  <si>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</si>
  <si>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</si>
  <si>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</si>
  <si>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</si>
  <si>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</si>
  <si>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</si>
  <si>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</si>
  <si>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</si>
  <si>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</si>
  <si>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</si>
  <si>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</si>
  <si>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</si>
  <si>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</si>
  <si>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</si>
  <si>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</si>
  <si>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</si>
  <si>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</si>
  <si>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</si>
  <si>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</si>
  <si>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</si>
  <si>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</si>
  <si>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</si>
  <si>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</si>
  <si>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</si>
  <si>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</si>
  <si>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</si>
  <si>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</si>
  <si>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</si>
  <si>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</si>
  <si>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</si>
  <si>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</si>
  <si>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</si>
  <si>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</si>
  <si>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</si>
  <si>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</si>
  <si>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</si>
  <si>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</si>
  <si>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</si>
  <si>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</si>
  <si>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</si>
  <si>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</si>
  <si>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</si>
  <si>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</si>
  <si>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</si>
  <si>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</si>
  <si>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</si>
  <si>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</si>
  <si>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</si>
  <si>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</si>
  <si>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</si>
  <si>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</si>
  <si>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</si>
  <si>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</si>
  <si>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</si>
  <si>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</si>
  <si>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</si>
  <si>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</si>
  <si>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</si>
  <si>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</si>
  <si>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</si>
  <si>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</si>
  <si>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</si>
  <si>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</si>
  <si>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</si>
  <si>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</si>
  <si>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</si>
  <si>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</si>
  <si>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</si>
  <si>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</si>
  <si>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</si>
  <si>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</si>
  <si>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</si>
  <si>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</si>
  <si>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</si>
  <si>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</si>
  <si>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</si>
  <si>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</si>
  <si>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</si>
  <si>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</si>
  <si>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</si>
  <si>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</si>
  <si>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</si>
  <si>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</si>
  <si>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</si>
  <si>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</si>
  <si>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</si>
  <si>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</si>
  <si>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</si>
  <si>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</si>
  <si>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</si>
  <si>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</si>
  <si>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</si>
  <si>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</si>
  <si>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</si>
  <si>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</si>
  <si>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</si>
  <si>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</si>
  <si>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</si>
  <si>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</si>
  <si>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</si>
  <si>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</si>
  <si>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</si>
  <si>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</si>
  <si>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</si>
  <si>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</si>
  <si>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</si>
  <si>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</si>
  <si>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</si>
  <si>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</si>
  <si>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</si>
  <si>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</si>
  <si>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</si>
  <si>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</si>
  <si>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</si>
  <si>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</si>
  <si>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</si>
  <si>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</si>
  <si>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</si>
  <si>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</si>
  <si>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</si>
  <si>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</si>
  <si>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</si>
  <si>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</si>
  <si>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</si>
  <si>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</si>
  <si>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</si>
  <si>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</si>
  <si>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</si>
  <si>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</si>
  <si>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</si>
  <si>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</si>
  <si>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</si>
  <si>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</si>
  <si>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</si>
  <si>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</si>
  <si>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</si>
  <si>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</si>
  <si>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</si>
  <si>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</si>
  <si>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</si>
  <si>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</si>
  <si>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</si>
  <si>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</si>
  <si>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</si>
  <si>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</si>
  <si>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</si>
  <si>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</si>
  <si>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</si>
  <si>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</si>
  <si>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</si>
  <si>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</si>
  <si>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</si>
  <si>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</si>
  <si>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</si>
  <si>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</si>
  <si>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</si>
  <si>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</si>
  <si>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</si>
  <si>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</si>
  <si>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</si>
  <si>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</si>
  <si>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</si>
  <si>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</si>
  <si>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</si>
  <si>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</si>
  <si>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</si>
  <si>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</si>
  <si>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</si>
  <si>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</si>
  <si>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</si>
  <si>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</si>
  <si>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</si>
  <si>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</si>
  <si>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</si>
  <si>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</si>
  <si>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</si>
  <si>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</si>
  <si>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</si>
  <si>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 xml:space="preserve">Desacarga de pedra </t>
  </si>
  <si>
    <t xml:space="preserve">MC1 as 09:54h - </t>
  </si>
  <si>
    <t xml:space="preserve">Previsão de pronto as 10h </t>
  </si>
  <si>
    <t>TCS-TIN</t>
  </si>
  <si>
    <t>TCSTIN</t>
  </si>
  <si>
    <t>MC1 as 09:40h - Liença as 09:44h</t>
  </si>
  <si>
    <t>Efraim</t>
  </si>
  <si>
    <t>2 (Maicon e Eder)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</si>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</sst>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BE1" activePane="topRight" state="frozen"/>
      <selection pane="topRight" activeCell="BJ168" sqref="BJ16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>
        <v>0.83402777777777781</v>
      </c>
      <c r="AS146" s="208">
        <v>0.85486111111111107</v>
      </c>
      <c r="AT146" s="208">
        <v>0.89652777777777781</v>
      </c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4.1666666666666741E-2</v>
      </c>
      <c r="AZ146" s="11"/>
      <c r="BA146" s="60">
        <v>1</v>
      </c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>
        <v>2</v>
      </c>
      <c r="BI146" s="14"/>
      <c r="BJ146" s="209" t="s">
        <v>1551</v>
      </c>
      <c r="BK146" s="209" t="s">
        <v>1551</v>
      </c>
      <c r="BL146" s="13"/>
      <c r="BM146" s="12" t="s">
        <v>1029</v>
      </c>
      <c r="BN146" s="12" t="s">
        <v>1029</v>
      </c>
      <c r="BO146" s="130" t="s">
        <v>1029</v>
      </c>
      <c r="BP146" s="14" t="s">
        <v>11</v>
      </c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1.0000000000000018</v>
      </c>
      <c r="BS146" s="15">
        <f>IF(OR(B146="",F146=""),"*",BA146/Q146)</f>
        <v>1</v>
      </c>
      <c r="BT146" s="157" t="str">
        <f t="shared" si="16"/>
        <v>OKOK</v>
      </c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1552</v>
      </c>
      <c r="N147" s="149" t="s">
        <v>1553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1554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1555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1556</v>
      </c>
      <c r="N150" s="149" t="s">
        <v>1557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1558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>
        <v>0.39027777777777778</v>
      </c>
      <c r="AS150" s="32">
        <v>0.43194444444444446</v>
      </c>
      <c r="AT150" s="32">
        <v>0.47361111111111109</v>
      </c>
      <c r="AU150" s="32"/>
      <c r="AV150" s="32"/>
      <c r="AW150" s="32"/>
      <c r="AX150" s="32"/>
      <c r="AY150" s="184">
        <f>IF(D150="","*",IFERROR(IF(ISODD(COUNT(AS150:AX156)),"ERRO",SUM((AT150-AS150),(AV150-AU150),(AX150-AW150))),"ERRO"))</f>
        <v>4.166666666666663E-2</v>
      </c>
      <c r="AZ150" s="11"/>
      <c r="BA150" s="60">
        <v>1</v>
      </c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2</v>
      </c>
      <c r="BI150" s="14"/>
      <c r="BJ150" s="14" t="s">
        <v>1559</v>
      </c>
      <c r="BK150" s="14" t="s">
        <v>1559</v>
      </c>
      <c r="BL150" s="13"/>
      <c r="BM150" s="12" t="s">
        <v>1029</v>
      </c>
      <c r="BN150" s="12" t="s">
        <v>1029</v>
      </c>
      <c r="BO150" s="130" t="s">
        <v>1029</v>
      </c>
      <c r="BP150" s="14"/>
      <c r="BQ150" s="10" t="str">
        <f t="shared" si="13"/>
        <v>Intervalo</v>
      </c>
      <c r="BR150" s="15">
        <f t="shared" si="14"/>
        <v>0.99999999999999911</v>
      </c>
      <c r="BS150" s="15">
        <f t="shared" si="15"/>
        <v>1</v>
      </c>
      <c r="BT150" s="157" t="str">
        <f t="shared" si="16"/>
        <v>OKOK</v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 hidden="1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>
        <v>2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2</v>
      </c>
      <c r="BI152" s="14"/>
      <c r="BJ152" s="14" t="s">
        <v>1560</v>
      </c>
      <c r="BK152" s="14" t="s">
        <v>1560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>OKOK</v>
      </c>
    </row>
    <row r="153" spans="1:72" hidden="1">
      <c r="A153" s="202" t="s">
        <v>1561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1562</v>
      </c>
      <c r="W153" s="206" t="s">
        <v>1563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>
        <v>0.29166666666666669</v>
      </c>
      <c r="AS153" s="208">
        <v>0.33333333333333331</v>
      </c>
      <c r="AT153" s="208">
        <v>0.375</v>
      </c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4.1666666666666685E-2</v>
      </c>
      <c r="AZ153" s="11"/>
      <c r="BA153" s="60">
        <v>27</v>
      </c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>
        <v>2</v>
      </c>
      <c r="BI153" s="14"/>
      <c r="BJ153" s="226" t="s">
        <v>1564</v>
      </c>
      <c r="BK153" s="226" t="s">
        <v>1564</v>
      </c>
      <c r="BL153" s="13"/>
      <c r="BM153" s="12" t="s">
        <v>1029</v>
      </c>
      <c r="BN153" s="12" t="s">
        <v>1029</v>
      </c>
      <c r="BO153" s="130" t="s">
        <v>1029</v>
      </c>
      <c r="BP153" s="14"/>
      <c r="BQ153" s="10" t="str">
        <f>IF(AND(BR153&lt;1,BS153&lt;1),"Produção e Intervalo",IF(BR153&lt;1,"Intervalo",IF(BS153&lt;1,"Produção","Aderente")))</f>
        <v>Aderente</v>
      </c>
      <c r="BR153" s="15">
        <f>IF(OR(B153="",F153=""),"*",AY153/P153)</f>
        <v>1.0000000000000004</v>
      </c>
      <c r="BS153" s="15">
        <f>IF(OR(B153="",F153=""),"*",BA153/Q153)</f>
        <v>1</v>
      </c>
      <c r="BT153" s="157" t="str">
        <f t="shared" si="16"/>
        <v>OKOK</v>
      </c>
    </row>
    <row r="154" spans="1:72" hidden="1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>
        <v>2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2</v>
      </c>
      <c r="BI156" s="14"/>
      <c r="BJ156" s="14" t="s">
        <v>1565</v>
      </c>
      <c r="BK156" s="14" t="s">
        <v>1565</v>
      </c>
      <c r="BL156" s="13"/>
      <c r="BM156" s="12" t="s">
        <v>1029</v>
      </c>
      <c r="BN156" s="12" t="s">
        <v>1029</v>
      </c>
      <c r="BO156" s="130" t="s">
        <v>1029</v>
      </c>
      <c r="BP156" s="14"/>
      <c r="BQ156" s="10" t="str">
        <f>IF(AND(BR156&lt;1,BS156&lt;1),"Produção e Intervalo",IF(BR156&lt;1,"Intervalo",IF(BS156&lt;1,"Produção","Aderente")))</f>
        <v>Aderente</v>
      </c>
      <c r="BR156" s="15">
        <f>IF(OR(B156="",F156=""),"*",AY156/P156)</f>
        <v>1.333333333333333</v>
      </c>
      <c r="BS156" s="15">
        <f>IF(OR(B156="",F156=""),"*",BA156/Q156)</f>
        <v>2</v>
      </c>
      <c r="BT156" s="157" t="str">
        <f t="shared" si="16"/>
        <v>OKOK</v>
      </c>
    </row>
    <row r="157" spans="1:72" hidden="1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>
        <v>0.34375</v>
      </c>
      <c r="AS157" s="32">
        <v>0.47638888888888886</v>
      </c>
      <c r="AT157" s="32">
        <v>0.5625</v>
      </c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8.6111111111111138E-2</v>
      </c>
      <c r="AZ157" s="11"/>
      <c r="BA157" s="60">
        <v>2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>
        <v>2</v>
      </c>
      <c r="BI157" s="14"/>
      <c r="BJ157" s="14" t="s">
        <v>1566</v>
      </c>
      <c r="BK157" s="14" t="s">
        <v>1566</v>
      </c>
      <c r="BL157" s="13"/>
      <c r="BM157" s="12" t="s">
        <v>1029</v>
      </c>
      <c r="BN157" s="12" t="s">
        <v>1029</v>
      </c>
      <c r="BO157" s="130" t="s">
        <v>1029</v>
      </c>
      <c r="BP157" s="14"/>
      <c r="BQ157" s="10" t="str">
        <f t="shared" si="13"/>
        <v>Aderente</v>
      </c>
      <c r="BR157" s="15">
        <f t="shared" si="14"/>
        <v>1.0333333333333337</v>
      </c>
      <c r="BS157" s="15">
        <f t="shared" si="15"/>
        <v>2</v>
      </c>
      <c r="BT157" s="157" t="str">
        <f t="shared" si="16"/>
        <v>OKOK</v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617</v>
      </c>
      <c r="I159" s="135" t="s">
        <v>605</v>
      </c>
      <c r="J159" s="151">
        <v>98</v>
      </c>
      <c r="K159" s="151">
        <v>659.976</v>
      </c>
      <c r="L159" s="71">
        <v>662.91099999999994</v>
      </c>
      <c r="M159" s="149" t="s">
        <v>643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TIQ</v>
      </c>
      <c r="AL159" s="175" t="str">
        <f>IF(BS_CONTROLE[[#This Row],[Local - Encerramento]]=0, "-", BS_CONTROLE[[#This Row],[Local - Encerramento]])</f>
        <v>TMJ1</v>
      </c>
      <c r="AM159" s="175" t="str">
        <f>IF(BS_CONTROLE[[#This Row],[Entre - Estações]]=0, "-", BS_CONTROLE[[#This Row],[Entre - Estações]])</f>
        <v>TAL-TSF</v>
      </c>
      <c r="AN159" s="175" t="str">
        <f>IF(BS_CONTROLE[[#This Row],[SB]]=0, "-", BS_CONTROLE[[#This Row],[SB]])</f>
        <v>TBS1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659.976</v>
      </c>
      <c r="AQ159" s="177">
        <f>IF(BS_CONTROLE[[#This Row],[KM - Fim]]=0, "-", BS_CONTROLE[[#This Row],[KM - Fim]])</f>
        <v>662.91099999999994</v>
      </c>
      <c r="AR159" s="32">
        <v>0.51666666666666672</v>
      </c>
      <c r="AS159" s="32">
        <v>0</v>
      </c>
      <c r="AT159" s="32">
        <v>0</v>
      </c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>
        <v>0</v>
      </c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>
        <v>0</v>
      </c>
      <c r="BI159" s="14"/>
      <c r="BJ159" s="14" t="s">
        <v>1567</v>
      </c>
      <c r="BK159" s="14" t="s">
        <v>1568</v>
      </c>
      <c r="BL159" s="13"/>
      <c r="BM159" s="12" t="s">
        <v>1024</v>
      </c>
      <c r="BN159" s="12" t="s">
        <v>1054</v>
      </c>
      <c r="BO159" s="130" t="s">
        <v>1116</v>
      </c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>CCOCirculaçãoIntervaloOportunidade</v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>BRUNO (TF-525)46069</v>
      </c>
      <c r="B161" s="133">
        <v>46069</v>
      </c>
      <c r="C161" s="7">
        <f>IF(BS_CONTROLE[[#This Row],[DATA]]="","",WEEKNUM(BS_CONTROLE[[#This Row],[DATA]]))</f>
        <v>8</v>
      </c>
      <c r="D161" s="45" t="s">
        <v>278</v>
      </c>
      <c r="E161" s="185">
        <v>173</v>
      </c>
      <c r="F161" s="134" t="s">
        <v>193</v>
      </c>
      <c r="G161" s="8" t="str">
        <f>IF(D161="","*",VLOOKUP(F161,BS_ATIVIDADE[#All],3,FALSE))</f>
        <v>SOLDA</v>
      </c>
      <c r="H161" s="135" t="s">
        <v>638</v>
      </c>
      <c r="I161" s="135" t="s">
        <v>11</v>
      </c>
      <c r="J161" s="151">
        <v>98</v>
      </c>
      <c r="K161" s="151">
        <v>662.4</v>
      </c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61" s="135">
        <v>0.375</v>
      </c>
      <c r="P161" s="135">
        <v>6.25E-2</v>
      </c>
      <c r="Q161" s="71">
        <v>2</v>
      </c>
      <c r="R161" s="9" t="str">
        <f>IFERROR(_xlfn.XLOOKUP(F161, BS_ATIVIDADE[ATIVIDADE],BS_ATIVIDADE[UNIDADE] ), "*")</f>
        <v>Nº DE SOLDA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1" s="199" t="str">
        <f>IFERROR(_xlfn.XLOOKUP(J161, BASE_MAPA!$B$2:$B$420, BASE_MAPA!$G$2:$G$420), "ERRO")</f>
        <v>ALTO ARAGUAIA - RONDONOPOLIS</v>
      </c>
      <c r="V161" s="143" t="s">
        <v>1263</v>
      </c>
      <c r="W161" s="135" t="s">
        <v>1315</v>
      </c>
      <c r="X161" s="152" t="s">
        <v>1005</v>
      </c>
      <c r="Y161" s="129" t="s">
        <v>1008</v>
      </c>
      <c r="Z161" s="129"/>
      <c r="AA161" s="71" t="s">
        <v>11</v>
      </c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PDM - SOLDA</v>
      </c>
      <c r="AJ161" s="8" t="str">
        <f>IF(D161="","*",VLOOKUP(AI161,BS_ATIVIDADE[#Data],3,FALSE))</f>
        <v>SOLDA</v>
      </c>
      <c r="AK161" s="175" t="str">
        <f>IF(BS_CONTROLE[[#This Row],[Local - Partida]]=0, "-", BS_CONTROLE[[#This Row],[Local - Partida]])</f>
        <v>TBS671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TBS-TAL</v>
      </c>
      <c r="AN161" s="175" t="str">
        <f>IF(BS_CONTROLE[[#This Row],[SB]]=0, "-", BS_CONTROLE[[#This Row],[SB]])</f>
        <v>TBS671</v>
      </c>
      <c r="AO161" s="176">
        <f>IF(BS_CONTROLE[[#This Row],[SUB]]=0, "-", BS_CONTROLE[[#This Row],[SUB]])</f>
        <v>98</v>
      </c>
      <c r="AP161" s="177">
        <f>IF(BS_CONTROLE[[#This Row],[KM - Inicio]]=0, "-", BS_CONTROLE[[#This Row],[KM - Inicio]])</f>
        <v>662.4</v>
      </c>
      <c r="AQ161" s="177" t="str">
        <f>IF(BS_CONTROLE[[#This Row],[KM - Fim]]=0, "-", BS_CONTROLE[[#This Row],[KM - Fim]])</f>
        <v>-</v>
      </c>
      <c r="AR161" s="32">
        <v>0.3215277777777778</v>
      </c>
      <c r="AS161" s="32">
        <v>0.3888888888888889</v>
      </c>
      <c r="AT161" s="32">
        <v>0.4513888888888889</v>
      </c>
      <c r="AU161" s="32"/>
      <c r="AV161" s="32"/>
      <c r="AW161" s="32"/>
      <c r="AX161" s="32"/>
      <c r="AY161" s="184">
        <f>IF(D161="","*",IFERROR(IF(ISODD(COUNT(AS161:AX163)),"ERRO",SUM((AT161-AS161),(AV161-AU161),(AX161-AW161))),"ERRO"))</f>
        <v>6.25E-2</v>
      </c>
      <c r="AZ161" s="11"/>
      <c r="BA161" s="60"/>
      <c r="BB161" s="9" t="str">
        <f>IFERROR(_xlfn.XLOOKUP(AI161, BS_ATIVIDADE[ATIVIDADE],BS_ATIVIDADE[UNIDADE] ), "*")</f>
        <v>Nº DE SOLDA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1" s="200" t="str">
        <f>IFERROR(_xlfn.XLOOKUP(AO161, BASE_MAPA!$B$2:$B$420, BASE_MAPA!$G$2:$G$420), "ERRO")</f>
        <v>ALTO ARAGUAIA - RONDONOPOLIS</v>
      </c>
      <c r="BF161" s="178" t="str">
        <f>IF(BS_CONTROLE[[#This Row],[Responsavel pelo boletim]]=0, "-", BS_CONTROLE[[#This Row],[Responsavel pelo boletim]])</f>
        <v>Camila</v>
      </c>
      <c r="BG161" s="13"/>
      <c r="BH161" s="14">
        <v>1</v>
      </c>
      <c r="BI161" s="14"/>
      <c r="BJ161" s="14" t="s">
        <v>1569</v>
      </c>
      <c r="BK161" s="14" t="s">
        <v>1570</v>
      </c>
      <c r="BL161" s="13"/>
      <c r="BM161" s="12"/>
      <c r="BN161" s="12"/>
      <c r="BO161" s="130"/>
      <c r="BP161" s="14"/>
      <c r="BQ161" s="10" t="str">
        <f t="shared" si="13"/>
        <v>Produção</v>
      </c>
      <c r="BR161" s="15">
        <f t="shared" si="14"/>
        <v>1</v>
      </c>
      <c r="BS161" s="15">
        <f t="shared" si="15"/>
        <v>0</v>
      </c>
      <c r="BT161" s="157" t="str">
        <f t="shared" si="16"/>
        <v/>
      </c>
    </row>
    <row r="162" spans="1:72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 t="s">
        <v>617</v>
      </c>
      <c r="I162" s="135" t="s">
        <v>1571</v>
      </c>
      <c r="J162" s="151">
        <v>98</v>
      </c>
      <c r="K162" s="151">
        <v>659.976</v>
      </c>
      <c r="L162" s="71">
        <v>662.91099999999994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62" s="135">
        <v>0.4375</v>
      </c>
      <c r="P162" s="135">
        <v>0.125</v>
      </c>
      <c r="Q162" s="71">
        <v>1680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199" t="str">
        <f>IFERROR(_xlfn.XLOOKUP(J162, BASE_MAPA!$B$2:$B$420, BASE_MAPA!$G$2:$G$420), "ERRO")</f>
        <v>ALTO ARAGUAIA - RONDONOPOLIS</v>
      </c>
      <c r="V162" s="143" t="s">
        <v>1272</v>
      </c>
      <c r="W162" s="135" t="s">
        <v>1273</v>
      </c>
      <c r="X162" s="152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TIQ</v>
      </c>
      <c r="AL162" s="175" t="str">
        <f>IF(BS_CONTROLE[[#This Row],[Local - Encerramento]]=0, "-", BS_CONTROLE[[#This Row],[Local - Encerramento]])</f>
        <v xml:space="preserve">TIQ </v>
      </c>
      <c r="AM162" s="175" t="str">
        <f>IF(BS_CONTROLE[[#This Row],[Entre - Estações]]=0, "-", BS_CONTROLE[[#This Row],[Entre - Estações]])</f>
        <v>TBS</v>
      </c>
      <c r="AN162" s="175" t="str">
        <f>IF(BS_CONTROLE[[#This Row],[SB]]=0, "-", BS_CONTROLE[[#This Row],[SB]])</f>
        <v>TBS1</v>
      </c>
      <c r="AO162" s="176">
        <f>IF(BS_CONTROLE[[#This Row],[SUB]]=0, "-", BS_CONTROLE[[#This Row],[SUB]])</f>
        <v>98</v>
      </c>
      <c r="AP162" s="177">
        <f>IF(BS_CONTROLE[[#This Row],[KM - Inicio]]=0, "-", BS_CONTROLE[[#This Row],[KM - Inicio]])</f>
        <v>659.976</v>
      </c>
      <c r="AQ162" s="177">
        <f>IF(BS_CONTROLE[[#This Row],[KM - Fim]]=0, "-", BS_CONTROLE[[#This Row],[KM - Fim]])</f>
        <v>662.91099999999994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Antonioni</v>
      </c>
      <c r="BG162" s="13"/>
      <c r="BH162" s="14"/>
      <c r="BI162" s="14"/>
      <c r="BJ162" s="14" t="s">
        <v>1524</v>
      </c>
      <c r="BK162" s="14"/>
      <c r="BL162" s="13"/>
      <c r="BM162" s="12"/>
      <c r="BN162" s="12"/>
      <c r="BO162" s="130"/>
      <c r="BP162" s="14"/>
      <c r="BQ162" s="10" t="str">
        <f t="shared" si="13"/>
        <v>Produção e Intervalo</v>
      </c>
      <c r="BR162" s="15">
        <f t="shared" si="14"/>
        <v>0</v>
      </c>
      <c r="BS162" s="15">
        <f t="shared" si="15"/>
        <v>0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1562</v>
      </c>
      <c r="W164" s="135" t="s">
        <v>1572</v>
      </c>
      <c r="X164" s="152" t="s">
        <v>1005</v>
      </c>
      <c r="Y164" s="129" t="s">
        <v>1008</v>
      </c>
      <c r="Z164" s="129"/>
      <c r="AA164" s="71" t="s">
        <v>1265</v>
      </c>
      <c r="AB164" s="59" t="s">
        <v>997</v>
      </c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>
        <v>0.41249999999999998</v>
      </c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>
        <v>1</v>
      </c>
      <c r="BI164" s="14"/>
      <c r="BJ164" s="14" t="s">
        <v>1573</v>
      </c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 t="s">
        <v>1008</v>
      </c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>
        <v>0.41666666666666669</v>
      </c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 t="s">
        <v>1574</v>
      </c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1575</v>
      </c>
      <c r="N168" s="149" t="s">
        <v>1576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 t="s">
        <v>1008</v>
      </c>
      <c r="Z168" s="129"/>
      <c r="AA168" s="71">
        <v>1</v>
      </c>
      <c r="AB168" s="59" t="s">
        <v>997</v>
      </c>
      <c r="AC168" s="59"/>
      <c r="AD168" s="135">
        <v>0.29166666666666669</v>
      </c>
      <c r="AE168" s="71">
        <v>5487</v>
      </c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>
        <v>0.40277777777777779</v>
      </c>
      <c r="AS168" s="32">
        <v>0.40555555555555556</v>
      </c>
      <c r="AT168" s="32">
        <v>0.44722222222222224</v>
      </c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4.1666666666666685E-2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>
        <v>1</v>
      </c>
      <c r="BI168" s="14"/>
      <c r="BJ168" s="14" t="s">
        <v>1577</v>
      </c>
      <c r="BK168" s="14"/>
      <c r="BL168" s="13"/>
      <c r="BM168" s="12"/>
      <c r="BN168" s="12"/>
      <c r="BO168" s="130"/>
      <c r="BP168" s="14"/>
      <c r="BQ168" s="10" t="str">
        <f t="shared" si="13"/>
        <v>Produção</v>
      </c>
      <c r="BR168" s="15">
        <f t="shared" si="14"/>
        <v>1.0000000000000004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1578</v>
      </c>
      <c r="W170" s="135" t="s">
        <v>1328</v>
      </c>
      <c r="X170" s="152" t="s">
        <v>1005</v>
      </c>
      <c r="Y170" s="129" t="s">
        <v>1008</v>
      </c>
      <c r="Z170" s="129"/>
      <c r="AA170" s="71" t="s">
        <v>1579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 t="s">
        <v>1437</v>
      </c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>V48</v>
      </c>
      <c r="B171" s="133"/>
      <c r="C171" s="7" t="str">
        <f>IF(BS_CONTROLE[[#This Row],[DATA]]="","",WEEKNUM(BS_CONTROLE[[#This Row],[DATA]]))</f>
        <v/>
      </c>
      <c r="D171" s="236" t="s">
        <v>183</v>
      </c>
      <c r="E171" s="185">
        <v>183</v>
      </c>
      <c r="F171" s="134" t="s">
        <v>25</v>
      </c>
      <c r="G171" s="8" t="str">
        <f>IF(D171="","*",VLOOKUP(F171,BS_ATIVIDADE[#All],3,FALSE))</f>
        <v>OUTROS</v>
      </c>
      <c r="H171" s="135" t="s">
        <v>1580</v>
      </c>
      <c r="I171" s="135" t="s">
        <v>458</v>
      </c>
      <c r="J171" s="151">
        <v>74</v>
      </c>
      <c r="K171" s="151">
        <v>421</v>
      </c>
      <c r="L171" s="71">
        <v>226</v>
      </c>
      <c r="M171" s="149" t="s">
        <v>1581</v>
      </c>
      <c r="N171" s="149" t="s">
        <v>1582</v>
      </c>
      <c r="O171" s="135">
        <v>0.375</v>
      </c>
      <c r="P171" s="135">
        <v>4.1666666666666664E-2</v>
      </c>
      <c r="Q171" s="71">
        <v>1</v>
      </c>
      <c r="R171" s="9" t="str">
        <f>IFERROR(_xlfn.XLOOKUP(F171, BS_ATIVIDADE[ATIVIDADE],BS_ATIVIDADE[UNIDADE] ), "*")</f>
        <v>BINÁRIO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BASE_MAPA!$B$2:$B$420, BASE_MAPA!$G$2:$G$420), "ERRO")</f>
        <v>MARCO INICIAL - ALTO ARAGUAIA</v>
      </c>
      <c r="V171" s="143" t="s">
        <v>1583</v>
      </c>
      <c r="W171" s="135" t="s">
        <v>1584</v>
      </c>
      <c r="X171" s="152" t="s">
        <v>1005</v>
      </c>
      <c r="Y171" s="129"/>
      <c r="Z171" s="129"/>
      <c r="AA171" s="71">
        <v>1</v>
      </c>
      <c r="AB171" s="59" t="s">
        <v>997</v>
      </c>
      <c r="AC171" s="59"/>
      <c r="AD171" s="135">
        <v>0.29166666666666669</v>
      </c>
      <c r="AE171" s="71">
        <v>6248</v>
      </c>
      <c r="AF171" s="71"/>
      <c r="AG171" s="71"/>
      <c r="AH171" s="42"/>
      <c r="AI171" s="119" t="str">
        <f>IF(BS_CONTROLE[[#This Row],[Atividade]]=0, "-", BS_CONTROLE[[#This Row],[Atividade]])</f>
        <v>DESLOCAMENTO</v>
      </c>
      <c r="AJ171" s="8" t="str">
        <f>IF(D171="","*",VLOOKUP(AI171,BS_ATIVIDADE[#Data],3,FALSE))</f>
        <v>OUTROS</v>
      </c>
      <c r="AK171" s="175" t="str">
        <f>IF(BS_CONTROLE[[#This Row],[Local - Partida]]=0, "-", BS_CONTROLE[[#This Row],[Local - Partida]])</f>
        <v>ZSF</v>
      </c>
      <c r="AL171" s="175" t="str">
        <f>IF(BS_CONTROLE[[#This Row],[Local - Encerramento]]=0, "-", BS_CONTROLE[[#This Row],[Local - Encerramento]])</f>
        <v>TVI1</v>
      </c>
      <c r="AM171" s="175" t="str">
        <f>IF(BS_CONTROLE[[#This Row],[Entre - Estações]]=0, "-", BS_CONTROLE[[#This Row],[Entre - Estações]])</f>
        <v>ZSF-TVI</v>
      </c>
      <c r="AN171" s="175" t="str">
        <f>IF(BS_CONTROLE[[#This Row],[SB]]=0, "-", BS_CONTROLE[[#This Row],[SB]])</f>
        <v>ZSFTVI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421</v>
      </c>
      <c r="AQ171" s="177">
        <f>IF(BS_CONTROLE[[#This Row],[KM - Fim]]=0, "-", BS_CONTROLE[[#This Row],[KM - Fim]])</f>
        <v>226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ERRO</v>
      </c>
      <c r="AZ171" s="11"/>
      <c r="BA171" s="60"/>
      <c r="BB171" s="9" t="str">
        <f>IFERROR(_xlfn.XLOOKUP(AI171, BS_ATIVIDADE[ATIVIDADE],BS_ATIVIDADE[UNIDADE] ), "*")</f>
        <v>BINÁRIO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BASE_MAPA!$B$2:$B$420, BASE_MAPA!$G$2:$G$420), "ERRO")</f>
        <v>MARCO INICIAL - ALTO ARAGUAIA</v>
      </c>
      <c r="BF171" s="178" t="str">
        <f>IF(BS_CONTROLE[[#This Row],[Responsavel pelo boletim]]=0, "-", BS_CONTROLE[[#This Row],[Responsavel pelo boletim]])</f>
        <v>Ezequiel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 t="s">
        <v>434</v>
      </c>
      <c r="I172" s="135" t="s">
        <v>11</v>
      </c>
      <c r="J172" s="151">
        <v>74</v>
      </c>
      <c r="K172" s="151">
        <v>143.35</v>
      </c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72" s="135">
        <v>0.375</v>
      </c>
      <c r="P172" s="135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BASE_MAPA!$B$2:$B$420, BASE_MAPA!$G$2:$G$420), "ERRO")</f>
        <v>MARCO INICIAL - ALTO ARAGUAIA</v>
      </c>
      <c r="V172" s="143" t="s">
        <v>1325</v>
      </c>
      <c r="W172" s="135" t="s">
        <v>1315</v>
      </c>
      <c r="X172" s="152" t="s">
        <v>1005</v>
      </c>
      <c r="Y172" s="129" t="s">
        <v>1008</v>
      </c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TMO1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TMO</v>
      </c>
      <c r="AN172" s="175" t="str">
        <f>IF(BS_CONTROLE[[#This Row],[SB]]=0, "-", BS_CONTROLE[[#This Row],[SB]])</f>
        <v>TMO1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143.35</v>
      </c>
      <c r="AQ172" s="177" t="str">
        <f>IF(BS_CONTROLE[[#This Row],[KM - Fim]]=0, "-", BS_CONTROLE[[#This Row],[KM - Fim]])</f>
        <v>-</v>
      </c>
      <c r="AR172" s="32">
        <v>0.39583333333333331</v>
      </c>
      <c r="AS172" s="32">
        <v>0.41319444444444442</v>
      </c>
      <c r="AT172" s="32">
        <v>0.4826388888888889</v>
      </c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ERRO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BASE_MAPA!$B$2:$B$420, BASE_MAPA!$G$2:$G$420), "ERRO")</f>
        <v>MARCO INICIAL - ALTO ARAGUAIA</v>
      </c>
      <c r="BF172" s="178" t="str">
        <f>IF(BS_CONTROLE[[#This Row],[Responsavel pelo boletim]]=0, "-", BS_CONTROLE[[#This Row],[Responsavel pelo boletim]])</f>
        <v>Marcos Euzebio</v>
      </c>
      <c r="BG172" s="13"/>
      <c r="BH172" s="14">
        <v>1</v>
      </c>
      <c r="BI172" s="14"/>
      <c r="BJ172" s="14" t="s">
        <v>1585</v>
      </c>
      <c r="BK172" s="14"/>
      <c r="BL172" s="13"/>
      <c r="BM172" s="12"/>
      <c r="BN172" s="12"/>
      <c r="BO172" s="130"/>
      <c r="BP172" s="14"/>
      <c r="BQ172" s="10" t="e">
        <f t="shared" si="13"/>
        <v>#VALUE!</v>
      </c>
      <c r="BR172" s="15" t="e">
        <f t="shared" si="14"/>
        <v>#VALUE!</v>
      </c>
      <c r="BS172" s="15">
        <f t="shared" si="15"/>
        <v>0</v>
      </c>
      <c r="BT172" s="157" t="str">
        <f t="shared" si="16"/>
        <v/>
      </c>
    </row>
    <row r="173" spans="1:72">
      <c r="A173" s="44" t="str">
        <f t="shared" si="12"/>
        <v>W4846069</v>
      </c>
      <c r="B173" s="133">
        <v>46069</v>
      </c>
      <c r="C173" s="7">
        <f>IF(BS_CONTROLE[[#This Row],[DATA]]="","",WEEKNUM(BS_CONTROLE[[#This Row],[DATA]]))</f>
        <v>8</v>
      </c>
      <c r="D173" s="45" t="s">
        <v>239</v>
      </c>
      <c r="E173" s="185">
        <v>185</v>
      </c>
      <c r="F173" s="134" t="s">
        <v>25</v>
      </c>
      <c r="G173" s="8" t="str">
        <f>IF(D173="","*",VLOOKUP(F173,BS_ATIVIDADE[#All],3,FALSE))</f>
        <v>OUTROS</v>
      </c>
      <c r="H173" s="135" t="s">
        <v>385</v>
      </c>
      <c r="I173" s="135" t="s">
        <v>418</v>
      </c>
      <c r="J173" s="151">
        <v>74</v>
      </c>
      <c r="K173" s="151">
        <v>24.84</v>
      </c>
      <c r="L173" s="71">
        <v>109</v>
      </c>
      <c r="M173" s="149" t="s">
        <v>1586</v>
      </c>
      <c r="N173" s="149" t="s">
        <v>1587</v>
      </c>
      <c r="O173" s="135">
        <v>0.375</v>
      </c>
      <c r="P173" s="135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BASE_MAPA!$B$2:$B$420, BASE_MAPA!$G$2:$G$420), "ERRO")</f>
        <v>MARCO INICIAL - ALTO ARAGUAIA</v>
      </c>
      <c r="V173" s="143" t="s">
        <v>1588</v>
      </c>
      <c r="W173" s="135" t="s">
        <v>1589</v>
      </c>
      <c r="X173" s="152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5">
        <v>0.29166666666666669</v>
      </c>
      <c r="AE173" s="71">
        <v>6202</v>
      </c>
      <c r="AF173" s="71">
        <v>6201</v>
      </c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75" t="str">
        <f>IF(BS_CONTROLE[[#This Row],[Local - Partida]]=0, "-", BS_CONTROLE[[#This Row],[Local - Partida]])</f>
        <v>TAP</v>
      </c>
      <c r="AL173" s="175" t="str">
        <f>IF(BS_CONTROLE[[#This Row],[Local - Encerramento]]=0, "-", BS_CONTROLE[[#This Row],[Local - Encerramento]])</f>
        <v>TIN1</v>
      </c>
      <c r="AM173" s="175" t="str">
        <f>IF(BS_CONTROLE[[#This Row],[Entre - Estações]]=0, "-", BS_CONTROLE[[#This Row],[Entre - Estações]])</f>
        <v>TAP-TIN</v>
      </c>
      <c r="AN173" s="175" t="str">
        <f>IF(BS_CONTROLE[[#This Row],[SB]]=0, "-", BS_CONTROLE[[#This Row],[SB]])</f>
        <v>TAPTIN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24.84</v>
      </c>
      <c r="AQ173" s="177">
        <f>IF(BS_CONTROLE[[#This Row],[KM - Fim]]=0, "-", BS_CONTROLE[[#This Row],[KM - Fim]])</f>
        <v>109</v>
      </c>
      <c r="AR173" s="32">
        <v>0.34444444444444444</v>
      </c>
      <c r="AS173" s="32">
        <v>0.38611111111111113</v>
      </c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ERRO</v>
      </c>
      <c r="AZ173" s="11"/>
      <c r="BA173" s="60"/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BASE_MAPA!$B$2:$B$420, BASE_MAPA!$G$2:$G$420), "ERRO")</f>
        <v>MARCO INICIAL - ALTO ARAGUAIA</v>
      </c>
      <c r="BF173" s="178" t="str">
        <f>IF(BS_CONTROLE[[#This Row],[Responsavel pelo boletim]]=0, "-", BS_CONTROLE[[#This Row],[Responsavel pelo boletim]])</f>
        <v>Douglas</v>
      </c>
      <c r="BG173" s="13"/>
      <c r="BH173" s="14">
        <v>1</v>
      </c>
      <c r="BI173" s="14"/>
      <c r="BJ173" s="14" t="s">
        <v>1590</v>
      </c>
      <c r="BK173" s="14"/>
      <c r="BL173" s="13"/>
      <c r="BM173" s="12"/>
      <c r="BN173" s="12"/>
      <c r="BO173" s="130"/>
      <c r="BP173" s="14"/>
      <c r="BQ173" s="10" t="e">
        <f t="shared" si="13"/>
        <v>#VALUE!</v>
      </c>
      <c r="BR173" s="15" t="e">
        <f t="shared" si="14"/>
        <v>#VALUE!</v>
      </c>
      <c r="BS173" s="15">
        <f t="shared" si="15"/>
        <v>0</v>
      </c>
      <c r="BT173" s="157" t="str">
        <f t="shared" si="16"/>
        <v/>
      </c>
    </row>
    <row r="174" spans="1:72">
      <c r="A174" s="44" t="str">
        <f t="shared" si="12"/>
        <v>V9746069</v>
      </c>
      <c r="B174" s="133">
        <v>46069</v>
      </c>
      <c r="C174" s="7">
        <f>IF(BS_CONTROLE[[#This Row],[DATA]]="","",WEEKNUM(BS_CONTROLE[[#This Row],[DATA]]))</f>
        <v>8</v>
      </c>
      <c r="D174" s="45" t="s">
        <v>236</v>
      </c>
      <c r="E174" s="185">
        <v>186</v>
      </c>
      <c r="F174" s="134" t="s">
        <v>25</v>
      </c>
      <c r="G174" s="8" t="str">
        <f>IF(D174="","*",VLOOKUP(F174,BS_ATIVIDADE[#All],3,FALSE))</f>
        <v>OUTROS</v>
      </c>
      <c r="H174" s="135" t="s">
        <v>1591</v>
      </c>
      <c r="I174" s="135" t="s">
        <v>716</v>
      </c>
      <c r="J174" s="151">
        <v>78</v>
      </c>
      <c r="K174" s="151">
        <v>180</v>
      </c>
      <c r="L174" s="71">
        <v>189.45500000000001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4" s="135">
        <v>0.375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199" t="str">
        <f>IFERROR(_xlfn.XLOOKUP(J174, BASE_MAPA!$B$2:$B$420, BASE_MAPA!$G$2:$G$420), "ERRO")</f>
        <v>ITIRAPINA - BAURU</v>
      </c>
      <c r="V174" s="143" t="s">
        <v>1592</v>
      </c>
      <c r="W174" s="135" t="s">
        <v>1593</v>
      </c>
      <c r="X174" s="152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5">
        <v>0.29166666666666669</v>
      </c>
      <c r="AE174" s="71">
        <v>6527</v>
      </c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ZIQ</v>
      </c>
      <c r="AL174" s="175" t="str">
        <f>IF(BS_CONTROLE[[#This Row],[Local - Encerramento]]=0, "-", BS_CONTROLE[[#This Row],[Local - Encerramento]])</f>
        <v>ZFH</v>
      </c>
      <c r="AM174" s="175" t="str">
        <f>IF(BS_CONTROLE[[#This Row],[Entre - Estações]]=0, "-", BS_CONTROLE[[#This Row],[Entre - Estações]])</f>
        <v>ZIQ-ZQY</v>
      </c>
      <c r="AN174" s="175" t="str">
        <f>IF(BS_CONTROLE[[#This Row],[SB]]=0, "-", BS_CONTROLE[[#This Row],[SB]])</f>
        <v>ZIQZQY</v>
      </c>
      <c r="AO174" s="176">
        <f>IF(BS_CONTROLE[[#This Row],[SUB]]=0, "-", BS_CONTROLE[[#This Row],[SUB]])</f>
        <v>78</v>
      </c>
      <c r="AP174" s="177">
        <f>IF(BS_CONTROLE[[#This Row],[KM - Inicio]]=0, "-", BS_CONTROLE[[#This Row],[KM - Inicio]])</f>
        <v>180</v>
      </c>
      <c r="AQ174" s="177">
        <f>IF(BS_CONTROLE[[#This Row],[KM - Fim]]=0, "-", BS_CONTROLE[[#This Row],[KM - Fim]])</f>
        <v>189.45500000000001</v>
      </c>
      <c r="AR174" s="32">
        <v>0.3923611111111111</v>
      </c>
      <c r="AS174" s="32">
        <v>0.41388888888888886</v>
      </c>
      <c r="AT174" s="32">
        <v>0.45555555555555555</v>
      </c>
      <c r="AU174" s="32"/>
      <c r="AV174" s="32"/>
      <c r="AW174" s="32"/>
      <c r="AX174" s="32"/>
      <c r="AY174" s="184">
        <f>IF(D174="","*",IFERROR(IF(ISODD(COUNT(AS174:AX176)),"ERRO",SUM((AT174-AS174),(AV174-AU174),(AX174-AW174))),"ERRO"))</f>
        <v>4.1666666666666685E-2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200" t="str">
        <f>IFERROR(_xlfn.XLOOKUP(AO174, BASE_MAPA!$B$2:$B$420, BASE_MAPA!$G$2:$G$420), "ERRO")</f>
        <v>ITIRAPINA - BAURU</v>
      </c>
      <c r="BF174" s="178" t="str">
        <f>IF(BS_CONTROLE[[#This Row],[Responsavel pelo boletim]]=0, "-", BS_CONTROLE[[#This Row],[Responsavel pelo boletim]])</f>
        <v>Vieira</v>
      </c>
      <c r="BG174" s="13"/>
      <c r="BH174" s="14">
        <v>1</v>
      </c>
      <c r="BI174" s="14"/>
      <c r="BJ174" s="14" t="s">
        <v>1594</v>
      </c>
      <c r="BK174" s="14"/>
      <c r="BL174" s="13"/>
      <c r="BM174" s="12"/>
      <c r="BN174" s="12"/>
      <c r="BO174" s="130"/>
      <c r="BP174" s="14"/>
      <c r="BQ174" s="10" t="str">
        <f t="shared" si="13"/>
        <v>Produção</v>
      </c>
      <c r="BR174" s="15">
        <f t="shared" si="14"/>
        <v>1.0000000000000004</v>
      </c>
      <c r="BS174" s="15">
        <f t="shared" si="15"/>
        <v>0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9" operator="equal">
      <formula>"ERRO"</formula>
    </cfRule>
  </conditionalFormatting>
  <conditionalFormatting sqref="X4 Y1:Z5 Y8:Z783">
    <cfRule type="cellIs" dxfId="123" priority="18498" operator="equal">
      <formula>"OPORTUNIDADE"</formula>
    </cfRule>
  </conditionalFormatting>
  <conditionalFormatting sqref="AZ6:AZ783">
    <cfRule type="expression" dxfId="122" priority="18493">
      <formula>$BU6=1</formula>
    </cfRule>
  </conditionalFormatting>
  <conditionalFormatting sqref="BQ6:BQ783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83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83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46:Y1048576">
    <cfRule type="cellIs" dxfId="111" priority="18315" operator="equal">
      <formula>"OPORTUNIDADE"</formula>
    </cfRule>
  </conditionalFormatting>
  <conditionalFormatting sqref="Y1047846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K144 BK150 BK152:BK153 BK156:BK157 BJ127:BJ783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 BK151 BK154:BK155 BK158:BK783 BK147:BK149">
    <cfRule type="iconSet" priority="2274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9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1">
      <iconSet showValue="0">
        <cfvo type="percent" val="0"/>
        <cfvo type="num" val="1"/>
        <cfvo type="num" val="1" gte="0"/>
      </iconSet>
    </cfRule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5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O107 BN6:BN783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F6:F783 AI6:AI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1595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1596</v>
      </c>
      <c r="E3" s="186" t="s">
        <v>1597</v>
      </c>
      <c r="F3" s="186" t="s">
        <v>1598</v>
      </c>
      <c r="G3" s="186" t="s">
        <v>1599</v>
      </c>
      <c r="H3" s="186" t="s">
        <v>1600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1601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1602</v>
      </c>
      <c r="D12" s="187">
        <v>9049</v>
      </c>
      <c r="E12" s="188">
        <v>46044</v>
      </c>
      <c r="F12" s="190" t="s">
        <v>1603</v>
      </c>
      <c r="G12" s="187" t="s">
        <v>1604</v>
      </c>
      <c r="H12" s="187"/>
    </row>
    <row r="13" spans="3:8">
      <c r="C13" s="187" t="s">
        <v>1602</v>
      </c>
      <c r="D13" s="187">
        <v>9044</v>
      </c>
      <c r="E13" s="188">
        <v>46044</v>
      </c>
      <c r="F13" s="190" t="s">
        <v>1605</v>
      </c>
      <c r="G13" s="187" t="s">
        <v>1606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1607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1607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1608</v>
      </c>
      <c r="C2" s="83" t="s">
        <v>1196</v>
      </c>
      <c r="D2" s="83" t="s">
        <v>1198</v>
      </c>
      <c r="E2" s="83" t="s">
        <v>1609</v>
      </c>
      <c r="F2" s="83" t="s">
        <v>1610</v>
      </c>
      <c r="G2" s="83" t="s">
        <v>1611</v>
      </c>
      <c r="H2" s="83" t="s">
        <v>1612</v>
      </c>
      <c r="I2" s="83" t="s">
        <v>1613</v>
      </c>
      <c r="J2" s="83" t="s">
        <v>1614</v>
      </c>
      <c r="K2" s="109" t="s">
        <v>1615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 hidden="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 hidden="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TIQ</v>
      </c>
      <c r="F154" s="114" t="str">
        <f>IF(FN_MC!M159="","*",FN_MC!M159)</f>
        <v>TAL-TSF</v>
      </c>
      <c r="G154" s="101" t="str">
        <f>IF(FN_MC!I159="","*",FN_MC!I159)</f>
        <v>TMJ1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OPORTUNIDADE</v>
      </c>
      <c r="C156" s="101">
        <f>IF(FN_MC!B161="","*",FN_MC!B161)</f>
        <v>46069</v>
      </c>
      <c r="D156" s="101" t="str">
        <f>IF(FN_MC!D161="","*",FN_MC!D161)</f>
        <v>BRUNO (TF-525)</v>
      </c>
      <c r="E156" s="101" t="str">
        <f>IF(FN_MC!H161="","*",FN_MC!H161)</f>
        <v>TBS671</v>
      </c>
      <c r="F156" s="114" t="str">
        <f>IF(FN_MC!M161="","*",FN_MC!M161)</f>
        <v>TBS-TAL</v>
      </c>
      <c r="G156" s="101" t="str">
        <f>IF(FN_MC!I161="","*",FN_MC!I161)</f>
        <v>-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-</v>
      </c>
      <c r="K156" s="112" t="str">
        <f>IF(FN_MC!AD161="","*",FN_MC!AD161)</f>
        <v>*</v>
      </c>
    </row>
    <row r="157" spans="2:11" hidden="1">
      <c r="B157" s="100" t="str">
        <f>IF(FN_MC!Y162="","*",FN_MC!Y162)</f>
        <v>OPORTUNIDADE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TIQ</v>
      </c>
      <c r="F157" s="114" t="str">
        <f>IF(FN_MC!M162="","*",FN_MC!M162)</f>
        <v>TBS</v>
      </c>
      <c r="G157" s="101" t="str">
        <f>IF(FN_MC!I162="","*",FN_MC!I162)</f>
        <v xml:space="preserve">TIQ 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OPORTUNIDADE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FIXO</v>
      </c>
      <c r="I159" s="101" t="str">
        <f>IF(FN_MC!AC164="","*",FN_MC!AC164)</f>
        <v>*</v>
      </c>
      <c r="J159" s="102" t="str">
        <f>IF(FN_MC!AA164="","*",FN_MC!AA164)</f>
        <v>2 (Enio e Daniel)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OPORTUNIDADE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OPORTUNIDADE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FIXO</v>
      </c>
      <c r="I163" s="101" t="str">
        <f>IF(FN_MC!AC168="","*",FN_MC!AC168)</f>
        <v>*</v>
      </c>
      <c r="J163" s="102">
        <f>IF(FN_MC!AA168="","*",FN_MC!AA168)</f>
        <v>1</v>
      </c>
      <c r="K163" s="112">
        <f>IF(FN_MC!AD168="","*",FN_MC!AD168)</f>
        <v>0.29166666666666669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OPORTUNIDADE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V48</v>
      </c>
      <c r="E166" s="101" t="str">
        <f>IF(FN_MC!H171="","*",FN_MC!H171)</f>
        <v>ZSF</v>
      </c>
      <c r="F166" s="114" t="str">
        <f>IF(FN_MC!M171="","*",FN_MC!M171)</f>
        <v>ZSF-TVI</v>
      </c>
      <c r="G166" s="101" t="str">
        <f>IF(FN_MC!I171="","*",FN_MC!I171)</f>
        <v>TVI1</v>
      </c>
      <c r="H166" s="101" t="str">
        <f>IF(FN_MC!AB171="","*",FN_MC!AB171)</f>
        <v>FIXO</v>
      </c>
      <c r="I166" s="101" t="str">
        <f>IF(FN_MC!AC171="","*",FN_MC!AC171)</f>
        <v>*</v>
      </c>
      <c r="J166" s="102">
        <f>IF(FN_MC!AA171="","*",FN_MC!AA171)</f>
        <v>1</v>
      </c>
      <c r="K166" s="112">
        <f>IF(FN_MC!AD171="","*",FN_MC!AD171)</f>
        <v>0.29166666666666669</v>
      </c>
    </row>
    <row r="167" spans="2:11" hidden="1">
      <c r="B167" s="100" t="str">
        <f>IF(FN_MC!Y172="","*",FN_MC!Y172)</f>
        <v>OPORTUNIDADE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TMO1</v>
      </c>
      <c r="F167" s="114" t="str">
        <f>IF(FN_MC!M172="","*",FN_MC!M172)</f>
        <v>TMO</v>
      </c>
      <c r="G167" s="101" t="str">
        <f>IF(FN_MC!I172="","*",FN_MC!I172)</f>
        <v>-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OPORTUNIDADE</v>
      </c>
      <c r="C168" s="101">
        <f>IF(FN_MC!B173="","*",FN_MC!B173)</f>
        <v>46069</v>
      </c>
      <c r="D168" s="101" t="str">
        <f>IF(FN_MC!D173="","*",FN_MC!D173)</f>
        <v>W48</v>
      </c>
      <c r="E168" s="101" t="str">
        <f>IF(FN_MC!H173="","*",FN_MC!H173)</f>
        <v>TAP</v>
      </c>
      <c r="F168" s="114" t="str">
        <f>IF(FN_MC!M173="","*",FN_MC!M173)</f>
        <v>TAP-TIN</v>
      </c>
      <c r="G168" s="101" t="str">
        <f>IF(FN_MC!I173="","*",FN_MC!I173)</f>
        <v>TIN1</v>
      </c>
      <c r="H168" s="101" t="str">
        <f>IF(FN_MC!AB173="","*",FN_MC!AB173)</f>
        <v>FIXO</v>
      </c>
      <c r="I168" s="101" t="str">
        <f>IF(FN_MC!AC173="","*",FN_MC!AC173)</f>
        <v>*</v>
      </c>
      <c r="J168" s="102">
        <f>IF(FN_MC!AA173="","*",FN_MC!AA173)</f>
        <v>1</v>
      </c>
      <c r="K168" s="112">
        <f>IF(FN_MC!AD173="","*",FN_MC!AD173)</f>
        <v>0.29166666666666669</v>
      </c>
    </row>
    <row r="169" spans="2:11" hidden="1">
      <c r="B169" s="100" t="str">
        <f>IF(FN_MC!Y174="","*",FN_MC!Y174)</f>
        <v>OPORTUNIDADE</v>
      </c>
      <c r="C169" s="101">
        <f>IF(FN_MC!B174="","*",FN_MC!B174)</f>
        <v>46069</v>
      </c>
      <c r="D169" s="101" t="str">
        <f>IF(FN_MC!D174="","*",FN_MC!D174)</f>
        <v>V97</v>
      </c>
      <c r="E169" s="101" t="str">
        <f>IF(FN_MC!H174="","*",FN_MC!H174)</f>
        <v>ZIQ</v>
      </c>
      <c r="F169" s="114" t="str">
        <f>IF(FN_MC!M174="","*",FN_MC!M174)</f>
        <v>ZIQ-ZQY</v>
      </c>
      <c r="G169" s="101" t="str">
        <f>IF(FN_MC!I174="","*",FN_MC!I174)</f>
        <v>ZFH</v>
      </c>
      <c r="H169" s="101" t="str">
        <f>IF(FN_MC!AB174="","*",FN_MC!AB174)</f>
        <v>FIXO</v>
      </c>
      <c r="I169" s="101" t="str">
        <f>IF(FN_MC!AC174="","*",FN_MC!AC174)</f>
        <v>*</v>
      </c>
      <c r="J169" s="102">
        <f>IF(FN_MC!AA174="","*",FN_MC!AA174)</f>
        <v>1</v>
      </c>
      <c r="K169" s="112">
        <f>IF(FN_MC!AD174="","*",FN_MC!AD174)</f>
        <v>0.29166666666666669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Q1" workbookViewId="0">
      <selection activeCell="A2" sqref="A2:T17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1616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1617</v>
      </c>
      <c r="B3" s="91" t="s">
        <v>1618</v>
      </c>
      <c r="C3" s="91" t="s">
        <v>7</v>
      </c>
      <c r="D3" s="92" t="s">
        <v>1211</v>
      </c>
      <c r="E3" s="92" t="s">
        <v>366</v>
      </c>
      <c r="F3" s="92" t="s">
        <v>1619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1620</v>
      </c>
      <c r="T3" s="94" t="s">
        <v>1214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107">
        <f>IF(FN_MC!O150="","*",FN_MC!O150)</f>
        <v>0.4375</v>
      </c>
      <c r="Q148" s="107">
        <f>IF(FN_MC!P150="","*",FN_MC!P150)</f>
        <v>4.1666666666666664E-2</v>
      </c>
      <c r="R148" s="96" t="str">
        <f>IF(FN_MC!Q150="","*",CONCATENATE(FN_MC!Q150," ",FN_MC!R150))</f>
        <v>1 BINÁRIO</v>
      </c>
      <c r="S148" s="96" t="str">
        <f>IF(FN_MC!V150="","*",FN_MC!V150)</f>
        <v>Antonioni</v>
      </c>
      <c r="T148" s="96" t="str">
        <f>IF(FN_MC!W150="","*",FN_MC!W150)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107">
        <f>IF(FN_MC!O152="","*",FN_MC!O152)</f>
        <v>0.375</v>
      </c>
      <c r="Q150" s="107">
        <f>IF(FN_MC!P152="","*",FN_MC!P152)</f>
        <v>6.25E-2</v>
      </c>
      <c r="R150" s="96" t="str">
        <f>IF(FN_MC!Q152="","*",CONCATENATE(FN_MC!Q152," ",FN_MC!R152))</f>
        <v>2 Nº DE SOLDA</v>
      </c>
      <c r="S150" s="96" t="str">
        <f>IF(FN_MC!V152="","*",FN_MC!V152)</f>
        <v>Bruno</v>
      </c>
      <c r="T150" s="96" t="str">
        <f>IF(FN_MC!W152="","*",FN_MC!W152)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107">
        <f>IF(FN_MC!O153="","*",FN_MC!O153)</f>
        <v>0.41666666666666669</v>
      </c>
      <c r="Q151" s="107">
        <f>IF(FN_MC!P153="","*",FN_MC!P153)</f>
        <v>4.1666666666666664E-2</v>
      </c>
      <c r="R151" s="96" t="str">
        <f>IF(FN_MC!Q153="","*",CONCATENATE(FN_MC!Q153," ",FN_MC!R153))</f>
        <v>27 VAGÕES</v>
      </c>
      <c r="S151" s="96" t="str">
        <f>IF(FN_MC!V153="","*",FN_MC!V153)</f>
        <v>Elton</v>
      </c>
      <c r="T151" s="96" t="str">
        <f>IF(FN_MC!W153="","*",FN_MC!W153)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46067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TIP1</v>
      </c>
      <c r="J154" s="96" t="str">
        <f>IF(FN_MC!I156="","*",FN_MC!I156)</f>
        <v>-</v>
      </c>
      <c r="K154" s="96" t="str">
        <f>IF(FN_MC!M156="","*",FN_MC!M156)</f>
        <v>TIP</v>
      </c>
      <c r="L154" s="196" t="str">
        <f>IF(FN_MC!N156="","*",FN_MC!N156)</f>
        <v>TIP1</v>
      </c>
      <c r="M154" s="97">
        <f>IF(FN_MC!J156="","*",FN_MC!J156)</f>
        <v>74</v>
      </c>
      <c r="N154" s="183">
        <f>IF(FN_MC!K156="","*",FN_MC!K156)</f>
        <v>396.94</v>
      </c>
      <c r="O154" s="18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6.25E-2</v>
      </c>
      <c r="R154" s="96" t="str">
        <f>IF(FN_MC!Q156="","*",CONCATENATE(FN_MC!Q156," ",FN_MC!R156))</f>
        <v>1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8.3333333333333329E-2</v>
      </c>
      <c r="R155" s="96" t="str">
        <f>IF(FN_MC!Q157="","*",CONCATENATE(FN_MC!Q157," ",FN_MC!R157))</f>
        <v>1 Nº DE SOLDA</v>
      </c>
      <c r="S155" s="96" t="str">
        <f>IF(FN_MC!V157="","*",FN_MC!V157)</f>
        <v>Marcos Euzebio</v>
      </c>
      <c r="T155" s="96" t="str">
        <f>IF(FN_MC!W157="","*",FN_MC!W157)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TIQ</v>
      </c>
      <c r="J157" s="96" t="str">
        <f>IF(FN_MC!I159="","*",FN_MC!I159)</f>
        <v>TMJ1</v>
      </c>
      <c r="K157" s="96" t="str">
        <f>IF(FN_MC!M159="","*",FN_MC!M159)</f>
        <v>TAL-TSF</v>
      </c>
      <c r="L157" s="196" t="str">
        <f>IF(FN_MC!N159="","*",FN_MC!N159)</f>
        <v>TBS1</v>
      </c>
      <c r="M157" s="97">
        <f>IF(FN_MC!J159="","*",FN_MC!J159)</f>
        <v>98</v>
      </c>
      <c r="N157" s="183">
        <f>IF(FN_MC!K159="","*",FN_MC!K159)</f>
        <v>659.976</v>
      </c>
      <c r="O157" s="183">
        <f>IF(FN_MC!L159="","*",FN_MC!L159)</f>
        <v>662.91099999999994</v>
      </c>
      <c r="P157" s="107">
        <f>IF(FN_MC!O159="","*",FN_MC!O159)</f>
        <v>0.4375</v>
      </c>
      <c r="Q157" s="107">
        <f>IF(FN_MC!P159="","*",FN_MC!P159)</f>
        <v>0.125</v>
      </c>
      <c r="R157" s="96" t="str">
        <f>IF(FN_MC!Q159="","*",CONCATENATE(FN_MC!Q159," ",FN_MC!R159))</f>
        <v>1680 M</v>
      </c>
      <c r="S157" s="96" t="str">
        <f>IF(FN_MC!V159="","*",FN_MC!V159)</f>
        <v>Antonioni</v>
      </c>
      <c r="T157" s="96" t="str">
        <f>IF(FN_MC!W159="","*",FN_MC!W159)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OPORTUNIDADE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FERRONORTE</v>
      </c>
      <c r="E159" s="96" t="str">
        <f>IF(FN_MC!T161="","*",FN_MC!T161)</f>
        <v>TGR-TRO</v>
      </c>
      <c r="F159" s="96">
        <f>IF(FN_MC!B161="","*",FN_MC!B161)</f>
        <v>46069</v>
      </c>
      <c r="G159" s="96" t="str">
        <f>IF(FN_MC!D161="","*",FN_MC!D161)</f>
        <v>BRUNO (TF-525)</v>
      </c>
      <c r="H159" s="96" t="str">
        <f>IF(FN_MC!F161="","*",FN_MC!F161)</f>
        <v>PDM - SOLDA</v>
      </c>
      <c r="I159" s="96" t="str">
        <f>IF(FN_MC!H161="","*",FN_MC!H161)</f>
        <v>TBS671</v>
      </c>
      <c r="J159" s="96" t="str">
        <f>IF(FN_MC!I161="","*",FN_MC!I161)</f>
        <v>-</v>
      </c>
      <c r="K159" s="96" t="str">
        <f>IF(FN_MC!M161="","*",FN_MC!M161)</f>
        <v>TBS-TAL</v>
      </c>
      <c r="L159" s="196" t="str">
        <f>IF(FN_MC!N161="","*",FN_MC!N161)</f>
        <v>TBS671</v>
      </c>
      <c r="M159" s="97">
        <f>IF(FN_MC!J161="","*",FN_MC!J161)</f>
        <v>98</v>
      </c>
      <c r="N159" s="183">
        <f>IF(FN_MC!K161="","*",FN_MC!K161)</f>
        <v>662.4</v>
      </c>
      <c r="O159" s="183" t="str">
        <f>IF(FN_MC!L161="","*",FN_MC!L161)</f>
        <v>-</v>
      </c>
      <c r="P159" s="107">
        <f>IF(FN_MC!O161="","*",FN_MC!O161)</f>
        <v>0.375</v>
      </c>
      <c r="Q159" s="107">
        <f>IF(FN_MC!P161="","*",FN_MC!P161)</f>
        <v>6.25E-2</v>
      </c>
      <c r="R159" s="96" t="str">
        <f>IF(FN_MC!Q161="","*",CONCATENATE(FN_MC!Q161," ",FN_MC!R161))</f>
        <v>2 Nº DE SOLDA</v>
      </c>
      <c r="S159" s="96" t="str">
        <f>IF(FN_MC!V161="","*",FN_MC!V161)</f>
        <v>Camila</v>
      </c>
      <c r="T159" s="96" t="str">
        <f>IF(FN_MC!W161="","*",FN_MC!W161)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TGR-TRO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TIQ</v>
      </c>
      <c r="J160" s="96" t="str">
        <f>IF(FN_MC!I162="","*",FN_MC!I162)</f>
        <v xml:space="preserve">TIQ </v>
      </c>
      <c r="K160" s="96" t="str">
        <f>IF(FN_MC!M162="","*",FN_MC!M162)</f>
        <v>TBS</v>
      </c>
      <c r="L160" s="196" t="str">
        <f>IF(FN_MC!N162="","*",FN_MC!N162)</f>
        <v>TBS1</v>
      </c>
      <c r="M160" s="97">
        <f>IF(FN_MC!J162="","*",FN_MC!J162)</f>
        <v>98</v>
      </c>
      <c r="N160" s="183">
        <f>IF(FN_MC!K162="","*",FN_MC!K162)</f>
        <v>659.976</v>
      </c>
      <c r="O160" s="183">
        <f>IF(FN_MC!L162="","*",FN_MC!L162)</f>
        <v>662.91099999999994</v>
      </c>
      <c r="P160" s="107">
        <f>IF(FN_MC!O162="","*",FN_MC!O162)</f>
        <v>0.4375</v>
      </c>
      <c r="Q160" s="107">
        <f>IF(FN_MC!P162="","*",FN_MC!P162)</f>
        <v>0.125</v>
      </c>
      <c r="R160" s="96" t="str">
        <f>IF(FN_MC!Q162="","*",CONCATENATE(FN_MC!Q162," ",FN_MC!R162))</f>
        <v>1680 M</v>
      </c>
      <c r="S160" s="96" t="str">
        <f>IF(FN_MC!V162="","*",FN_MC!V162)</f>
        <v>Antonioni</v>
      </c>
      <c r="T160" s="96" t="str">
        <f>IF(FN_MC!W162="","*",FN_MC!W162)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IF(FN_MC!Y164="","*",FN_MC!Y164)</f>
        <v>OPORTUNIDADE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107">
        <f>IF(FN_MC!O164="","*",FN_MC!O164)</f>
        <v>0.41666666666666669</v>
      </c>
      <c r="Q162" s="107">
        <f>IF(FN_MC!P164="","*",FN_MC!P164)</f>
        <v>0.125</v>
      </c>
      <c r="R162" s="96" t="str">
        <f>IF(FN_MC!Q164="","*",CONCATENATE(FN_MC!Q164," ",FN_MC!R164))</f>
        <v>27 VAGÕES</v>
      </c>
      <c r="S162" s="96" t="str">
        <f>IF(FN_MC!V164="","*",FN_MC!V164)</f>
        <v>Elton</v>
      </c>
      <c r="T162" s="96" t="str">
        <f>IF(FN_MC!W164="","*",FN_MC!W164)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IF(FN_MC!Y166="","*",FN_MC!Y166)</f>
        <v>OPORTUNIDADE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IF(FN_MC!Y168="","*",FN_MC!Y168)</f>
        <v>OPORTUNIDADE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IF(FN_MC!Y170="","*",FN_MC!Y170)</f>
        <v>OPORTUNIDADE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Oportunidade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TCS-TGR</v>
      </c>
      <c r="F169" s="96" t="str">
        <f>IF(FN_MC!B171="","*",FN_MC!B171)</f>
        <v>*</v>
      </c>
      <c r="G169" s="96" t="str">
        <f>IF(FN_MC!D171="","*",FN_MC!D171)</f>
        <v>V48</v>
      </c>
      <c r="H169" s="96" t="str">
        <f>IF(FN_MC!F171="","*",FN_MC!F171)</f>
        <v>DESLOCAMENTO</v>
      </c>
      <c r="I169" s="96" t="str">
        <f>IF(FN_MC!H171="","*",FN_MC!H171)</f>
        <v>ZSF</v>
      </c>
      <c r="J169" s="96" t="str">
        <f>IF(FN_MC!I171="","*",FN_MC!I171)</f>
        <v>TVI1</v>
      </c>
      <c r="K169" s="96" t="str">
        <f>IF(FN_MC!M171="","*",FN_MC!M171)</f>
        <v>ZSF-TVI</v>
      </c>
      <c r="L169" s="196" t="str">
        <f>IF(FN_MC!N171="","*",FN_MC!N171)</f>
        <v>ZSFTVI</v>
      </c>
      <c r="M169" s="97">
        <f>IF(FN_MC!J171="","*",FN_MC!J171)</f>
        <v>74</v>
      </c>
      <c r="N169" s="183">
        <f>IF(FN_MC!K171="","*",FN_MC!K171)</f>
        <v>421</v>
      </c>
      <c r="O169" s="183">
        <f>IF(FN_MC!L171="","*",FN_MC!L171)</f>
        <v>226</v>
      </c>
      <c r="P169" s="107">
        <f>IF(FN_MC!O171="","*",FN_MC!O171)</f>
        <v>0.375</v>
      </c>
      <c r="Q169" s="107">
        <f>IF(FN_MC!P171="","*",FN_MC!P171)</f>
        <v>4.1666666666666664E-2</v>
      </c>
      <c r="R169" s="96" t="str">
        <f>IF(FN_MC!Q171="","*",CONCATENATE(FN_MC!Q171," ",FN_MC!R171))</f>
        <v>1 BINÁRIO</v>
      </c>
      <c r="S169" s="96" t="str">
        <f>IF(FN_MC!V171="","*",FN_MC!V171)</f>
        <v>Ezequiel</v>
      </c>
      <c r="T169" s="96" t="str">
        <f>IF(FN_MC!W171="","*",FN_MC!W171)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IF(FN_MC!Y172="","*",FN_MC!Y172)</f>
        <v>OPORTUNIDADE</v>
      </c>
      <c r="B170" s="95" t="str">
        <f>IF(FN_MC!X172="","*",FN_MC!X172)</f>
        <v>Oportunidade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TMO1</v>
      </c>
      <c r="J170" s="96" t="str">
        <f>IF(FN_MC!I172="","*",FN_MC!I172)</f>
        <v>-</v>
      </c>
      <c r="K170" s="96" t="str">
        <f>IF(FN_MC!M172="","*",FN_MC!M172)</f>
        <v>TMO</v>
      </c>
      <c r="L170" s="196" t="str">
        <f>IF(FN_MC!N172="","*",FN_MC!N172)</f>
        <v>TMO1</v>
      </c>
      <c r="M170" s="97">
        <f>IF(FN_MC!J172="","*",FN_MC!J172)</f>
        <v>74</v>
      </c>
      <c r="N170" s="183">
        <f>IF(FN_MC!K172="","*",FN_MC!K172)</f>
        <v>143.35</v>
      </c>
      <c r="O170" s="18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46069</v>
      </c>
      <c r="G171" s="96" t="str">
        <f>IF(FN_MC!D173="","*",FN_MC!D173)</f>
        <v>W48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TIN1</v>
      </c>
      <c r="K171" s="96" t="str">
        <f>IF(FN_MC!M173="","*",FN_MC!M173)</f>
        <v>TAP-TIN</v>
      </c>
      <c r="L171" s="196" t="str">
        <f>IF(FN_MC!N173="","*",FN_MC!N173)</f>
        <v>TAPTIN</v>
      </c>
      <c r="M171" s="97">
        <f>IF(FN_MC!J173="","*",FN_MC!J173)</f>
        <v>74</v>
      </c>
      <c r="N171" s="183">
        <f>IF(FN_MC!K173="","*",FN_MC!K173)</f>
        <v>24.84</v>
      </c>
      <c r="O171" s="183">
        <f>IF(FN_MC!L173="","*",FN_MC!L173)</f>
        <v>109</v>
      </c>
      <c r="P171" s="107">
        <f>IF(FN_MC!O173="","*",FN_MC!O173)</f>
        <v>0.375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Douglas</v>
      </c>
      <c r="T171" s="96" t="str">
        <f>IF(FN_MC!W173="","*",FN_MC!W173)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MALHA CENTRAL</v>
      </c>
      <c r="E172" s="96" t="str">
        <f>IF(FN_MC!T174="","*",FN_MC!T174)</f>
        <v>RAMAL</v>
      </c>
      <c r="F172" s="96">
        <f>IF(FN_MC!B174="","*",FN_MC!B174)</f>
        <v>46069</v>
      </c>
      <c r="G172" s="96" t="str">
        <f>IF(FN_MC!D174="","*",FN_MC!D174)</f>
        <v>V97</v>
      </c>
      <c r="H172" s="96" t="str">
        <f>IF(FN_MC!F174="","*",FN_MC!F174)</f>
        <v>DESLOCAMENTO</v>
      </c>
      <c r="I172" s="96" t="str">
        <f>IF(FN_MC!H174="","*",FN_MC!H174)</f>
        <v>ZIQ</v>
      </c>
      <c r="J172" s="96" t="str">
        <f>IF(FN_MC!I174="","*",FN_MC!I174)</f>
        <v>ZFH</v>
      </c>
      <c r="K172" s="96" t="str">
        <f>IF(FN_MC!M174="","*",FN_MC!M174)</f>
        <v>ZIQ-ZQY</v>
      </c>
      <c r="L172" s="196" t="str">
        <f>IF(FN_MC!N174="","*",FN_MC!N174)</f>
        <v>ZIQZQY</v>
      </c>
      <c r="M172" s="97">
        <f>IF(FN_MC!J174="","*",FN_MC!J174)</f>
        <v>78</v>
      </c>
      <c r="N172" s="183">
        <f>IF(FN_MC!K174="","*",FN_MC!K174)</f>
        <v>180</v>
      </c>
      <c r="O172" s="183">
        <f>IF(FN_MC!L174="","*",FN_MC!L174)</f>
        <v>189.45500000000001</v>
      </c>
      <c r="P172" s="107">
        <f>IF(FN_MC!O174="","*",FN_MC!O174)</f>
        <v>0.375</v>
      </c>
      <c r="Q172" s="107">
        <f>IF(FN_MC!P174="","*",FN_MC!P174)</f>
        <v>4.1666666666666664E-2</v>
      </c>
      <c r="R172" s="96" t="str">
        <f>IF(FN_MC!Q174="","*",CONCATENATE(FN_MC!Q174," ",FN_MC!R174))</f>
        <v>1 BINÁRIO</v>
      </c>
      <c r="S172" s="96" t="str">
        <f>IF(FN_MC!V174="","*",FN_MC!V174)</f>
        <v>Vieira</v>
      </c>
      <c r="T172" s="96" t="str">
        <f>IF(FN_MC!W174="","*",FN_MC!W174)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1621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1622</v>
      </c>
      <c r="C4" s="191" t="s">
        <v>1623</v>
      </c>
      <c r="D4" s="191" t="s">
        <v>1624</v>
      </c>
      <c r="E4" s="191" t="s">
        <v>1625</v>
      </c>
      <c r="F4" s="191" t="s">
        <v>366</v>
      </c>
      <c r="G4" s="191" t="s">
        <v>1626</v>
      </c>
    </row>
    <row r="5" spans="2:7">
      <c r="B5" s="192" t="s">
        <v>1627</v>
      </c>
      <c r="C5" s="192">
        <v>309525</v>
      </c>
      <c r="D5" s="192" t="s">
        <v>1628</v>
      </c>
      <c r="E5" s="192" t="s">
        <v>249</v>
      </c>
      <c r="F5" s="192" t="s">
        <v>1629</v>
      </c>
      <c r="G5" s="193">
        <v>46296</v>
      </c>
    </row>
    <row r="6" spans="2:7">
      <c r="B6" s="192" t="s">
        <v>1630</v>
      </c>
      <c r="C6" s="192">
        <v>257410</v>
      </c>
      <c r="D6" s="192" t="s">
        <v>1631</v>
      </c>
      <c r="E6" s="192" t="s">
        <v>249</v>
      </c>
      <c r="F6" s="192" t="s">
        <v>1629</v>
      </c>
      <c r="G6" s="193"/>
    </row>
    <row r="7" spans="2:7">
      <c r="B7" s="192" t="s">
        <v>1481</v>
      </c>
      <c r="C7" s="192">
        <v>256875</v>
      </c>
      <c r="D7" s="192" t="s">
        <v>1632</v>
      </c>
      <c r="E7" s="192" t="s">
        <v>249</v>
      </c>
      <c r="F7" s="192" t="s">
        <v>1629</v>
      </c>
      <c r="G7" s="193">
        <v>46296</v>
      </c>
    </row>
    <row r="8" spans="2:7">
      <c r="B8" s="192" t="s">
        <v>1633</v>
      </c>
      <c r="C8" s="192">
        <v>257278</v>
      </c>
      <c r="D8" s="192" t="s">
        <v>1634</v>
      </c>
      <c r="E8" s="192" t="s">
        <v>240</v>
      </c>
      <c r="F8" s="192" t="s">
        <v>1635</v>
      </c>
      <c r="G8" s="193">
        <v>46235</v>
      </c>
    </row>
    <row r="9" spans="2:7">
      <c r="B9" s="192" t="s">
        <v>1636</v>
      </c>
      <c r="C9" s="192">
        <v>261794</v>
      </c>
      <c r="D9" s="192" t="s">
        <v>1637</v>
      </c>
      <c r="E9" s="192" t="s">
        <v>240</v>
      </c>
      <c r="F9" s="192" t="s">
        <v>1635</v>
      </c>
      <c r="G9" s="193">
        <v>46082</v>
      </c>
    </row>
    <row r="10" spans="2:7">
      <c r="B10" s="192" t="s">
        <v>1638</v>
      </c>
      <c r="C10" s="192">
        <v>257033</v>
      </c>
      <c r="D10" s="192" t="s">
        <v>1639</v>
      </c>
      <c r="E10" s="192" t="s">
        <v>240</v>
      </c>
      <c r="F10" s="192" t="s">
        <v>480</v>
      </c>
      <c r="G10" s="192" t="s">
        <v>1640</v>
      </c>
    </row>
    <row r="11" spans="2:7">
      <c r="B11" s="192" t="s">
        <v>1641</v>
      </c>
      <c r="C11" s="192">
        <v>396578</v>
      </c>
      <c r="D11" s="192" t="s">
        <v>1642</v>
      </c>
      <c r="E11" s="192" t="s">
        <v>240</v>
      </c>
      <c r="F11" s="192" t="s">
        <v>480</v>
      </c>
      <c r="G11" s="192" t="s">
        <v>1640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1643</v>
      </c>
      <c r="D5" s="274"/>
      <c r="E5" s="274"/>
      <c r="F5" s="274"/>
      <c r="G5" s="274"/>
      <c r="H5" s="274"/>
      <c r="I5" s="274"/>
      <c r="J5" s="275"/>
      <c r="K5" s="276" t="s">
        <v>1644</v>
      </c>
      <c r="L5" s="277"/>
      <c r="M5" s="277"/>
      <c r="N5" s="277"/>
      <c r="O5" s="278" t="s">
        <v>1645</v>
      </c>
      <c r="P5" s="279"/>
      <c r="Q5" s="280"/>
    </row>
    <row r="6" spans="1:17" s="81" customFormat="1" ht="15.75" customHeight="1">
      <c r="A6" s="75" t="s">
        <v>1619</v>
      </c>
      <c r="B6" s="82" t="s">
        <v>1618</v>
      </c>
      <c r="C6" s="83" t="s">
        <v>1211</v>
      </c>
      <c r="D6" s="84" t="s">
        <v>1212</v>
      </c>
      <c r="E6" s="83" t="s">
        <v>1646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1647</v>
      </c>
      <c r="M6" s="116" t="s">
        <v>29</v>
      </c>
      <c r="N6" s="117" t="s">
        <v>1206</v>
      </c>
      <c r="O6" s="165" t="s">
        <v>1249</v>
      </c>
      <c r="P6" s="128"/>
      <c r="Q6" s="139" t="s">
        <v>1648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 hidden="1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 hidden="1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 hidden="1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 hidden="1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 hidden="1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 hidden="1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 hidden="1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 hidden="1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 hidden="1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2</v>
      </c>
      <c r="P170" s="78"/>
      <c r="Q170" s="120" t="str">
        <f>IF($A$2=1,IF(FN_MC!BJ150="","*",FN_MC!BJ150),IF(FN_MC!BK150="","*",FN_MC!BK150))</f>
        <v>MC1 as 09:22h - após I32 - Licença as 10:22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2</v>
      </c>
      <c r="P171" s="78"/>
      <c r="Q171" s="120" t="str">
        <f>IF($A$2=1,IF(FN_MC!BJ152="","*",FN_MC!BJ152),IF(FN_MC!BK152="","*",FN_MC!BK152))</f>
        <v>Intervalo das 07:45 as 09:15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2</v>
      </c>
      <c r="P172" s="78"/>
      <c r="Q172" s="120" t="str">
        <f>IF($A$2=1,IF(FN_MC!BJ156="","*",FN_MC!BJ156),IF(FN_MC!BK156="","*",FN_MC!BK156))</f>
        <v>Intervalo das 09:18h as 11:18h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2</v>
      </c>
      <c r="P175" s="78"/>
      <c r="Q175" s="120" t="str">
        <f>IF($A$2=1,IF(FN_MC!BJ157="","*",FN_MC!BJ157),IF(FN_MC!BK157="","*",FN_MC!BK157))</f>
        <v>Intervalo das 11:26h as 13:06h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TIQ</v>
      </c>
      <c r="G177" s="87" t="str">
        <f>IF(FN_MC!M159="","*",FN_MC!M159)</f>
        <v>TAL-TSF</v>
      </c>
      <c r="H177" s="125">
        <f>IF(FN_MC!K159="","*",FN_MC!K159)</f>
        <v>659.976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TIQ</v>
      </c>
      <c r="L177" s="118" t="str">
        <f>IF(FN_MC!AM159="","*",FN_MC!AM159)</f>
        <v>TAL-TSF</v>
      </c>
      <c r="M177" s="118">
        <f>IF(FN_MC!AP159="","*",FN_MC!AP159)</f>
        <v>659.976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MC1 as 12:24h -sem oportunidade e risco de jornada irregular da equipe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>
        <f>IF(FN_MC!B161="","*",FN_MC!B161)</f>
        <v>46069</v>
      </c>
      <c r="B179" s="86" t="str">
        <f>IF(FN_MC!X161="","*",FN_MC!X161)</f>
        <v>Oportunidade</v>
      </c>
      <c r="C179" s="87" t="str">
        <f>IF(FN_MC!S161="","*",FN_MC!S161)</f>
        <v>FERRONORTE</v>
      </c>
      <c r="D179" s="87" t="str">
        <f>IF(FN_MC!T161="","*",FN_MC!T161)</f>
        <v>TGR-TRO</v>
      </c>
      <c r="E179" s="87" t="str">
        <f>IF(FN_MC!D161="","*",FN_MC!D161)</f>
        <v>BRUNO (TF-525)</v>
      </c>
      <c r="F179" s="87" t="str">
        <f>IF(FN_MC!H161="","*",FN_MC!H161)</f>
        <v>TBS671</v>
      </c>
      <c r="G179" s="87" t="str">
        <f>IF(FN_MC!M161="","*",FN_MC!M161)</f>
        <v>TBS-TAL</v>
      </c>
      <c r="H179" s="125">
        <f>IF(FN_MC!K161="","*",FN_MC!K161)</f>
        <v>662.4</v>
      </c>
      <c r="I179" s="110">
        <f>IF(FN_MC!O161="","*",FN_MC!O161)</f>
        <v>0.375</v>
      </c>
      <c r="J179" s="110">
        <f>IF(FN_MC!P161="","*",FN_MC!P161)</f>
        <v>6.25E-2</v>
      </c>
      <c r="K179" s="118" t="str">
        <f>IF(FN_MC!AK161="","*",FN_MC!AK161)</f>
        <v>TBS671</v>
      </c>
      <c r="L179" s="118" t="str">
        <f>IF(FN_MC!AM161="","*",FN_MC!AM161)</f>
        <v>TBS-TAL</v>
      </c>
      <c r="M179" s="118">
        <f>IF(FN_MC!AP161="","*",FN_MC!AP161)</f>
        <v>662.4</v>
      </c>
      <c r="N179" s="118" t="str">
        <f>IF(FN_MC!AM161="","*",FN_MC!AM161)</f>
        <v>TBS-TAL</v>
      </c>
      <c r="O179" s="136">
        <f>FN_MC!BH161</f>
        <v>1</v>
      </c>
      <c r="P179" s="78"/>
      <c r="Q179" s="120" t="str">
        <f>IF($A$2=1,IF(FN_MC!BJ161="","*",FN_MC!BJ161),IF(FN_MC!BK161="","*",FN_MC!BK161))</f>
        <v>Intervalo das 09:20h as 10:50h</v>
      </c>
    </row>
    <row r="180" spans="1:17" hidden="1">
      <c r="A180" s="85">
        <f>IF(FN_MC!B162="","*",FN_MC!B162)</f>
        <v>46069</v>
      </c>
      <c r="B180" s="86" t="str">
        <f>IF(FN_MC!X162="","*",FN_MC!X162)</f>
        <v>Oportunidade</v>
      </c>
      <c r="C180" s="87" t="str">
        <f>IF(FN_MC!S162="","*",FN_MC!S162)</f>
        <v>FERRONORTE</v>
      </c>
      <c r="D180" s="87" t="str">
        <f>IF(FN_MC!T162="","*",FN_MC!T162)</f>
        <v>TGR-TRO</v>
      </c>
      <c r="E180" s="87" t="str">
        <f>IF(FN_MC!D162="","*",FN_MC!D162)</f>
        <v>V86</v>
      </c>
      <c r="F180" s="87" t="str">
        <f>IF(FN_MC!H162="","*",FN_MC!H162)</f>
        <v>TIQ</v>
      </c>
      <c r="G180" s="87" t="str">
        <f>IF(FN_MC!M162="","*",FN_MC!M162)</f>
        <v>TBS</v>
      </c>
      <c r="H180" s="125">
        <f>IF(FN_MC!K162="","*",FN_MC!K162)</f>
        <v>659.976</v>
      </c>
      <c r="I180" s="110">
        <f>IF(FN_MC!O162="","*",FN_MC!O162)</f>
        <v>0.4375</v>
      </c>
      <c r="J180" s="110">
        <f>IF(FN_MC!P162="","*",FN_MC!P162)</f>
        <v>0.125</v>
      </c>
      <c r="K180" s="118" t="str">
        <f>IF(FN_MC!AK162="","*",FN_MC!AK162)</f>
        <v>TIQ</v>
      </c>
      <c r="L180" s="118" t="str">
        <f>IF(FN_MC!AM162="","*",FN_MC!AM162)</f>
        <v>TBS</v>
      </c>
      <c r="M180" s="118">
        <f>IF(FN_MC!AP162="","*",FN_MC!AP162)</f>
        <v>659.976</v>
      </c>
      <c r="N180" s="118" t="str">
        <f>IF(FN_MC!AM162="","*",FN_MC!AM162)</f>
        <v>TBS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1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1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Oportunidade</v>
      </c>
      <c r="C189" s="87" t="str">
        <f>IF(FN_MC!S171="","*",FN_MC!S171)</f>
        <v>FERRONORTE</v>
      </c>
      <c r="D189" s="87" t="str">
        <f>IF(FN_MC!T171="","*",FN_MC!T171)</f>
        <v>TCS-TGR</v>
      </c>
      <c r="E189" s="87" t="str">
        <f>IF(FN_MC!D171="","*",FN_MC!D171)</f>
        <v>V48</v>
      </c>
      <c r="F189" s="87" t="str">
        <f>IF(FN_MC!H171="","*",FN_MC!H171)</f>
        <v>ZSF</v>
      </c>
      <c r="G189" s="87" t="str">
        <f>IF(FN_MC!M171="","*",FN_MC!M171)</f>
        <v>ZSF-TVI</v>
      </c>
      <c r="H189" s="125">
        <f>IF(FN_MC!K171="","*",FN_MC!K171)</f>
        <v>421</v>
      </c>
      <c r="I189" s="110">
        <f>IF(FN_MC!O171="","*",FN_MC!O171)</f>
        <v>0.375</v>
      </c>
      <c r="J189" s="110">
        <f>IF(FN_MC!P171="","*",FN_MC!P171)</f>
        <v>4.1666666666666664E-2</v>
      </c>
      <c r="K189" s="118" t="str">
        <f>IF(FN_MC!AK171="","*",FN_MC!AK171)</f>
        <v>ZSF</v>
      </c>
      <c r="L189" s="118" t="str">
        <f>IF(FN_MC!AM171="","*",FN_MC!AM171)</f>
        <v>ZSF-TVI</v>
      </c>
      <c r="M189" s="118">
        <f>IF(FN_MC!AP171="","*",FN_MC!AP171)</f>
        <v>421</v>
      </c>
      <c r="N189" s="118" t="str">
        <f>IF(FN_MC!AM171="","*",FN_MC!AM171)</f>
        <v>ZSF-TVI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Oportunidade</v>
      </c>
      <c r="C190" s="87" t="str">
        <f>IF(FN_MC!S172="","*",FN_MC!S172)</f>
        <v>FERRONORTE</v>
      </c>
      <c r="D190" s="87" t="str">
        <f>IF(FN_MC!T172="","*",FN_MC!T172)</f>
        <v>TMI-TCS</v>
      </c>
      <c r="E190" s="87" t="str">
        <f>IF(FN_MC!D172="","*",FN_MC!D172)</f>
        <v>MARCOS (TF-520)</v>
      </c>
      <c r="F190" s="87" t="str">
        <f>IF(FN_MC!H172="","*",FN_MC!H172)</f>
        <v>TMO1</v>
      </c>
      <c r="G190" s="87" t="str">
        <f>IF(FN_MC!M172="","*",FN_MC!M172)</f>
        <v>TMO</v>
      </c>
      <c r="H190" s="125">
        <f>IF(FN_MC!K172="","*",FN_MC!K172)</f>
        <v>143.35</v>
      </c>
      <c r="I190" s="110">
        <f>IF(FN_MC!O172="","*",FN_MC!O172)</f>
        <v>0.375</v>
      </c>
      <c r="J190" s="110">
        <f>IF(FN_MC!P172="","*",FN_MC!P172)</f>
        <v>8.3333333333333329E-2</v>
      </c>
      <c r="K190" s="118" t="str">
        <f>IF(FN_MC!AK172="","*",FN_MC!AK172)</f>
        <v>TMO1</v>
      </c>
      <c r="L190" s="118" t="str">
        <f>IF(FN_MC!AM172="","*",FN_MC!AM172)</f>
        <v>TMO</v>
      </c>
      <c r="M190" s="118">
        <f>IF(FN_MC!AP172="","*",FN_MC!AP172)</f>
        <v>143.35</v>
      </c>
      <c r="N190" s="118" t="str">
        <f>IF(FN_MC!AM172="","*",FN_MC!AM172)</f>
        <v>TMO</v>
      </c>
      <c r="O190" s="136">
        <f>FN_MC!BH172</f>
        <v>1</v>
      </c>
      <c r="P190" s="78"/>
      <c r="Q190" s="120" t="str">
        <f>IF($A$2=1,IF(FN_MC!BJ172="","*",FN_MC!BJ172),IF(FN_MC!BK172="","*",FN_MC!BK172))</f>
        <v>*</v>
      </c>
    </row>
    <row r="191" spans="1:17" hidden="1">
      <c r="A191" s="85">
        <f>IF(FN_MC!B173="","*",FN_MC!B173)</f>
        <v>46069</v>
      </c>
      <c r="B191" s="86" t="str">
        <f>IF(FN_MC!X173="","*",FN_MC!X173)</f>
        <v>Oportunidade</v>
      </c>
      <c r="C191" s="87" t="str">
        <f>IF(FN_MC!S173="","*",FN_MC!S173)</f>
        <v>FERRONORTE</v>
      </c>
      <c r="D191" s="87" t="str">
        <f>IF(FN_MC!T173="","*",FN_MC!T173)</f>
        <v>TMI-TCS</v>
      </c>
      <c r="E191" s="87" t="str">
        <f>IF(FN_MC!D173="","*",FN_MC!D173)</f>
        <v>W48</v>
      </c>
      <c r="F191" s="87" t="str">
        <f>IF(FN_MC!H173="","*",FN_MC!H173)</f>
        <v>TAP</v>
      </c>
      <c r="G191" s="87" t="str">
        <f>IF(FN_MC!M173="","*",FN_MC!M173)</f>
        <v>TAP-TIN</v>
      </c>
      <c r="H191" s="125">
        <f>IF(FN_MC!K173="","*",FN_MC!K173)</f>
        <v>24.84</v>
      </c>
      <c r="I191" s="110">
        <f>IF(FN_MC!O173="","*",FN_MC!O173)</f>
        <v>0.375</v>
      </c>
      <c r="J191" s="110">
        <f>IF(FN_MC!P173="","*",FN_MC!P173)</f>
        <v>4.1666666666666664E-2</v>
      </c>
      <c r="K191" s="118" t="str">
        <f>IF(FN_MC!AK173="","*",FN_MC!AK173)</f>
        <v>TAP</v>
      </c>
      <c r="L191" s="118" t="str">
        <f>IF(FN_MC!AM173="","*",FN_MC!AM173)</f>
        <v>TAP-TIN</v>
      </c>
      <c r="M191" s="118">
        <f>IF(FN_MC!AP173="","*",FN_MC!AP173)</f>
        <v>24.84</v>
      </c>
      <c r="N191" s="118" t="str">
        <f>IF(FN_MC!AM173="","*",FN_MC!AM173)</f>
        <v>TAP-TIN</v>
      </c>
      <c r="O191" s="136">
        <f>FN_MC!BH173</f>
        <v>1</v>
      </c>
      <c r="P191" s="78"/>
      <c r="Q191" s="120" t="str">
        <f>IF($A$2=1,IF(FN_MC!BJ173="","*",FN_MC!BJ173),IF(FN_MC!BK173="","*",FN_MC!BK173))</f>
        <v>*</v>
      </c>
    </row>
    <row r="192" spans="1:17" hidden="1">
      <c r="A192" s="85">
        <f>IF(FN_MC!B174="","*",FN_MC!B174)</f>
        <v>46069</v>
      </c>
      <c r="B192" s="86" t="str">
        <f>IF(FN_MC!X174="","*",FN_MC!X174)</f>
        <v>Oportunidade</v>
      </c>
      <c r="C192" s="87" t="str">
        <f>IF(FN_MC!S174="","*",FN_MC!S174)</f>
        <v>MALHA CENTRAL</v>
      </c>
      <c r="D192" s="87" t="str">
        <f>IF(FN_MC!T174="","*",FN_MC!T174)</f>
        <v>RAMAL</v>
      </c>
      <c r="E192" s="87" t="str">
        <f>IF(FN_MC!D174="","*",FN_MC!D174)</f>
        <v>V97</v>
      </c>
      <c r="F192" s="87" t="str">
        <f>IF(FN_MC!H174="","*",FN_MC!H174)</f>
        <v>ZIQ</v>
      </c>
      <c r="G192" s="87" t="str">
        <f>IF(FN_MC!M174="","*",FN_MC!M174)</f>
        <v>ZIQ-ZQY</v>
      </c>
      <c r="H192" s="125">
        <f>IF(FN_MC!K174="","*",FN_MC!K174)</f>
        <v>180</v>
      </c>
      <c r="I192" s="110">
        <f>IF(FN_MC!O174="","*",FN_MC!O174)</f>
        <v>0.375</v>
      </c>
      <c r="J192" s="110">
        <f>IF(FN_MC!P174="","*",FN_MC!P174)</f>
        <v>4.1666666666666664E-2</v>
      </c>
      <c r="K192" s="118" t="str">
        <f>IF(FN_MC!AK174="","*",FN_MC!AK174)</f>
        <v>ZIQ</v>
      </c>
      <c r="L192" s="118" t="str">
        <f>IF(FN_MC!AM174="","*",FN_MC!AM174)</f>
        <v>ZIQ-ZQY</v>
      </c>
      <c r="M192" s="118">
        <f>IF(FN_MC!AP174="","*",FN_MC!AP174)</f>
        <v>180</v>
      </c>
      <c r="N192" s="118" t="str">
        <f>IF(FN_MC!AM174="","*",FN_MC!AM174)</f>
        <v>ZIQ-ZQY</v>
      </c>
      <c r="O192" s="136">
        <f>FN_MC!BH174</f>
        <v>1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2026-02-16T13:03:14Z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