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813" documentId="8_{B6337239-1A00-434D-AAD0-422EA1FEB5AE}" xr6:coauthVersionLast="47" xr6:coauthVersionMax="47" xr10:uidLastSave="{ACFF108A-8801-47F1-AFF8-3CDD56C86E0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3" i="1" l="1" a="1"/>
  <c r="N403" i="1" s="1"/>
  <c r="M403" i="1" a="1"/>
  <c r="M403" i="1" s="1"/>
  <c r="N402" i="1" a="1"/>
  <c r="N402" i="1" s="1"/>
  <c r="M402" i="1" a="1"/>
  <c r="M402" i="1" s="1"/>
  <c r="N399" i="1" a="1"/>
  <c r="N399" i="1" s="1"/>
  <c r="M399" i="1" a="1"/>
  <c r="M399" i="1" s="1"/>
  <c r="N396" i="1" a="1"/>
  <c r="N396" i="1" s="1"/>
  <c r="M396" i="1" a="1"/>
  <c r="M396" i="1" s="1"/>
  <c r="N395" i="1" a="1"/>
  <c r="N395" i="1" s="1"/>
  <c r="M395" i="1" a="1"/>
  <c r="M395" i="1" s="1"/>
  <c r="N394" i="1" a="1"/>
  <c r="N394" i="1" s="1"/>
  <c r="M394" i="1" a="1"/>
  <c r="M394" i="1" s="1"/>
  <c r="N393" i="1" a="1"/>
  <c r="N393" i="1" s="1"/>
  <c r="M393" i="1" a="1"/>
  <c r="M393" i="1" s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3" i="1" l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<sst xmlns="http://schemas.openxmlformats.org/spreadsheetml/2006/main" count="9426" uniqueCount="1566">
  <si>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</si>
  <si>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</si>
  <si>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</si>
  <si>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</si>
  <si>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</si>
  <si>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</si>
  <si>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</si>
  <si>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</si>
  <si>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</si>
  <si>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</si>
  <si>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</si>
  <si>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</si>
  <si>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</si>
  <si>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</si>
  <si>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</si>
  <si>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</si>
  <si>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</si>
  <si>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</si>
  <si>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</si>
  <si>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</si>
  <si>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</si>
  <si>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</si>
  <si>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</si>
  <si>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</si>
  <si>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</si>
  <si>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</si>
  <si>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</si>
  <si>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</si>
  <si>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</si>
  <si>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</si>
  <si>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</si>
  <si>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</si>
  <si>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</si>
  <si>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</si>
  <si>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</si>
  <si>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</si>
  <si>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</si>
  <si>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</si>
  <si>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</si>
  <si>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</si>
  <si>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</si>
  <si>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</si>
  <si>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</si>
  <si>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</si>
  <si>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</si>
  <si>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</si>
  <si>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</si>
  <si>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</si>
  <si>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</si>
  <si>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</si>
  <si>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</si>
  <si>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</si>
  <si>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</si>
  <si>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</si>
  <si>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</si>
  <si>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</si>
  <si>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</si>
  <si>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</si>
  <si>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</si>
  <si>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</si>
  <si>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</si>
  <si>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</si>
  <si>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</si>
  <si>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</si>
  <si>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</si>
  <si>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</si>
  <si>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</si>
  <si>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</si>
  <si>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</si>
  <si>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</si>
  <si>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</si>
  <si>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</si>
  <si>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</si>
  <si>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</si>
  <si>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</si>
  <si>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</si>
  <si>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</si>
  <si>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</si>
  <si>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</si>
  <si>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</si>
  <si>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</si>
  <si>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</si>
  <si>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</si>
  <si>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</si>
  <si>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</si>
  <si>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</si>
  <si>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</si>
  <si>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</si>
  <si>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</si>
  <si>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</si>
  <si>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</si>
  <si>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</si>
  <si>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</si>
  <si>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</si>
  <si>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</si>
  <si>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</si>
  <si>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</si>
  <si>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</si>
  <si>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</si>
  <si>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</si>
  <si>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</si>
  <si>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</si>
  <si>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</si>
  <si>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</si>
  <si>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</si>
  <si>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</si>
  <si>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</si>
  <si>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</si>
  <si>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</si>
  <si>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</si>
  <si>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</si>
  <si>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</si>
  <si>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</si>
  <si>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</si>
  <si>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</si>
  <si>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</si>
  <si>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</si>
  <si>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</si>
  <si>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</si>
  <si>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</si>
  <si>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</si>
  <si>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</si>
  <si>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</si>
  <si>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</si>
  <si>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</si>
  <si>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</si>
  <si>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</si>
  <si>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</si>
  <si>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</si>
  <si>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</si>
  <si>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</si>
  <si>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</si>
  <si>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</si>
  <si>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</si>
  <si>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</si>
  <si>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</si>
  <si>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</si>
  <si>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</si>
  <si>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</si>
  <si>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</si>
  <si>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</si>
  <si>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</si>
  <si>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</si>
  <si>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</si>
  <si>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</si>
  <si>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</si>
  <si>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</si>
  <si>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</si>
  <si>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</si>
  <si>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</si>
  <si>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</si>
  <si>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</si>
  <si>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</si>
  <si>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</si>
  <si>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</si>
  <si>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</si>
  <si>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</si>
  <si>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</si>
  <si>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</si>
  <si>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</si>
  <si>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</si>
  <si>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</si>
  <si>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</si>
  <si>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</si>
  <si>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</si>
  <si>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</si>
  <si>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</si>
  <si>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</si>
  <si>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</si>
  <si>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</si>
  <si>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</si>
  <si>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</si>
  <si>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</si>
  <si>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</si>
  <si>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</si>
  <si>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</si>
  <si>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</si>
  <si>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</si>
  <si>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</si>
  <si>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</si>
  <si>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</si>
  <si>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</si>
  <si>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</si>
  <si>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</si>
  <si>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</si>
  <si>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</si>
  <si>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</si>
  <si>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</si>
  <si>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</si>
  <si>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</si>
  <si>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</si>
  <si>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</si>
  <si>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</si>
  <si>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</si>
  <si>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</si>
  <si>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</si>
  <si>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</si>
  <si>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</si>
  <si>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</si>
  <si>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</si>
  <si>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</si>
  <si>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</si>
  <si>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</si>
  <si>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</si>
  <si>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</si>
  <si>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</si>
  <si>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</si>
  <si>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</si>
  <si>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</si>
  <si>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</si>
  <si>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</si>
  <si>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</si>
  <si>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</si>
  <si>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</si>
  <si>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</si>
  <si>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</si>
  <si>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</si>
  <si>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</si>
  <si>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</si>
  <si>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</si>
  <si>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</si>
  <si>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</si>
  <si>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</si>
  <si>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</si>
  <si>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</si>
  <si>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</si>
  <si>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</si>
  <si>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</si>
  <si>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</si>
  <si>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</si>
  <si>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</si>
  <si>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</si>
  <si>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</si>
  <si>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</si>
  <si>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</si>
  <si>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</si>
  <si>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</si>
  <si>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</si>
  <si>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</si>
  <si>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</si>
  <si>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</si>
  <si>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</si>
  <si>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</si>
  <si>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</si>
  <si>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</si>
  <si>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</si>
  <si>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</si>
  <si>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</si>
  <si>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</si>
  <si>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</si>
  <si>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</si>
  <si>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</si>
  <si>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</si>
  <si>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</si>
  <si>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</si>
  <si>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</si>
  <si>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</si>
  <si>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</si>
  <si>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</si>
  <si>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</si>
  <si>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</si>
  <si>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</si>
  <si>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</si>
  <si>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</si>
  <si>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</si>
  <si>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</si>
  <si>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</si>
  <si>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</si>
  <si>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</si>
  <si>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</si>
  <si>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</si>
  <si>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</si>
  <si>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</si>
  <si>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</si>
  <si>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</si>
  <si>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</si>
  <si>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</si>
  <si>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</si>
  <si>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</si>
  <si>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</si>
  <si>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</si>
  <si>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</si>
  <si>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</si>
  <si>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</si>
  <si>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</si>
  <si>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</si>
  <si>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</si>
  <si>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</si>
  <si>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</si>
  <si>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</si>
  <si>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</si>
  <si>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</si>
  <si>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</si>
  <si>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</si>
  <si>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</si>
  <si>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</si>
  <si>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</si>
  <si>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</si>
  <si>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</si>
  <si>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</si>
  <si>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</si>
  <si>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</si>
  <si>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</si>
  <si>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</si>
  <si>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</si>
  <si>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</si>
  <si>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</si>
  <si>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</si>
  <si>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</si>
  <si>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</si>
  <si>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</si>
  <si>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</si>
  <si>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</si>
  <si>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</si>
  <si>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</si>
  <si>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</si>
  <si>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</si>
  <si>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</si>
  <si>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</si>
  <si>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</si>
  <si>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</si>
  <si>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</si>
  <si>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</si>
  <si>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</si>
  <si>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</si>
  <si>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</si>
  <si>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</si>
  <si>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</si>
  <si>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</si>
  <si>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</si>
  <si>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</si>
  <si>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</si>
  <si>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</si>
  <si>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</si>
  <si>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</si>
  <si>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</si>
  <si>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</si>
  <si>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</si>
  <si>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</si>
  <si>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</si>
  <si>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</si>
  <si>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</si>
  <si>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</si>
  <si>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</si>
  <si>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</si>
  <si>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</si>
  <si>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</si>
  <si>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</si>
  <si>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</si>
  <si>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</si>
  <si>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</si>
  <si>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</si>
  <si>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</si>
  <si>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</si>
  <si>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</si>
  <si>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</si>
  <si>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</si>
  <si>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</si>
  <si>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</si>
  <si>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</si>
  <si>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</si>
  <si>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</si>
  <si>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</si>
  <si>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</si>
  <si>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</si>
  <si>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</si>
  <si>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</si>
  <si>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</si>
  <si>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</si>
  <si>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</si>
  <si>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</si>
  <si>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</si>
  <si>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</si>
  <si>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</si>
  <si>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</si>
  <si>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</si>
  <si>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</si>
  <si>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</si>
  <si>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</si>
  <si>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</si>
  <si>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</si>
  <si>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</si>
  <si>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</si>
  <si>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</si>
  <si>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</si>
  <si>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</si>
  <si>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</si>
  <si>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</si>
  <si>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</si>
  <si>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</si>
  <si>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</si>
  <si>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</si>
  <si>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</si>
  <si>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</si>
  <si>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</si>
  <si>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</si>
  <si>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</si>
  <si>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</si>
  <si>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</si>
  <si>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</si>
  <si>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</si>
  <si>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</si>
  <si>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</si>
  <si>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</si>
  <si>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</si>
  <si>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</si>
  <si>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</si>
  <si>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</si>
  <si>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</si>
  <si>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</si>
  <si>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</si>
  <si>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</si>
  <si>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</si>
  <si>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</si>
  <si>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</si>
  <si>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</si>
  <si>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</si>
  <si>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</si>
  <si>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</si>
  <si>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</si>
  <si>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</si>
  <si>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</si>
  <si>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</si>
  <si>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</si>
  <si>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</si>
  <si>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</si>
  <si>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</si>
  <si>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</si>
  <si>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</si>
  <si>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</si>
  <si>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</si>
  <si>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</si>
  <si>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</si>
  <si>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</si>
  <si>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</si>
  <si>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</si>
  <si>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</si>
  <si>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</si>
  <si>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</si>
  <si>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</si>
  <si>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</si>
  <si>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</si>
  <si>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</si>
  <si>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</si>
  <si>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</si>
  <si>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</si>
  <si>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</si>
  <si>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</si>
  <si>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</si>
  <si>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</si>
  <si>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</si>
  <si>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</si>
  <si>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</si>
  <si>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</si>
  <si>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</si>
  <si>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</si>
  <si>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</si>
  <si>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</si>
  <si>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</si>
  <si>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</si>
  <si>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</si>
  <si>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</si>
  <si>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</si>
  <si>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</si>
  <si>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</si>
  <si>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</si>
  <si>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</si>
  <si>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</si>
  <si>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</si>
  <si>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</si>
  <si>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</si>
  <si>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</si>
  <si>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</si>
  <si>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</si>
  <si>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</si>
  <si>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</si>
  <si>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</si>
  <si>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</si>
  <si>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</si>
  <si>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</si>
  <si>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</si>
  <si>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</si>
  <si>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</si>
  <si>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</si>
  <si>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</si>
  <si>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</si>
  <si>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</si>
  <si>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</si>
  <si>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</si>
  <si>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</si>
  <si>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</si>
  <si>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</si>
  <si>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</si>
  <si>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</si>
  <si>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</si>
  <si>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</si>
  <si>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</si>
  <si>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</si>
  <si>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</si>
  <si>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</si>
  <si>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</si>
  <si>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</si>
  <si>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</si>
  <si>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</si>
  <si>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</si>
  <si>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</si>
  <si>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</si>
  <si>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</si>
  <si>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</si>
  <si>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</si>
  <si>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</si>
  <si>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</si>
  <si>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</si>
  <si>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</si>
  <si>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</si>
  <si>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</si>
  <si>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</si>
  <si>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</si>
  <si>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</si>
  <si>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</si>
  <si>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</si>
  <si>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</si>
  <si>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</si>
  <si>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</si>
  <si>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</si>
  <si>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</si>
  <si>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</si>
  <si>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</si>
  <si>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</si>
  <si>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</si>
  <si>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</si>
  <si>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</si>
  <si>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</si>
  <si>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</si>
  <si>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</si>
  <si>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</si>
  <si>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</si>
  <si>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</si>
  <si>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</si>
  <si>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</si>
  <si>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</si>
  <si>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</si>
  <si>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</si>
  <si>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</si>
  <si>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</si>
  <si>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</si>
  <si>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</si>
  <si>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</si>
  <si>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</si>
  <si>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</si>
  <si>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</si>
  <si>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</si>
  <si>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</si>
  <si>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</si>
  <si>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</si>
  <si>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</si>
  <si>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</si>
  <si>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</si>
  <si>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</si>
  <si>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</si>
  <si>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</si>
  <si>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</si>
  <si>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</si>
  <si>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</si>
  <si>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</si>
  <si>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</si>
  <si>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</si>
  <si>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</si>
  <si>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</si>
  <si>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</si>
  <si>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</si>
  <si>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</si>
  <si>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</si>
  <si>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</si>
  <si>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</si>
  <si>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</si>
  <si>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</si>
  <si>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</si>
  <si>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</si>
  <si>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</si>
  <si>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</si>
  <si>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</si>
  <si>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</si>
  <si>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</si>
  <si>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</si>
  <si>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</si>
  <si>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</si>
  <si>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</si>
  <si>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</si>
  <si>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</si>
  <si>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</si>
  <si>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</si>
  <si>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</si>
  <si>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</si>
  <si>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</si>
  <si>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</si>
  <si>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</si>
  <si>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</si>
  <si>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</si>
  <si>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</si>
  <si>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</si>
  <si>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</si>
  <si>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</si>
  <si>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</si>
  <si>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</si>
  <si>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</si>
  <si>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</si>
  <si>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</si>
  <si>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</si>
  <si>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</si>
  <si>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</si>
  <si>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</si>
  <si>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</si>
  <si>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</si>
  <si>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</si>
  <si>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</si>
  <si>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</si>
  <si>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</si>
  <si>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</si>
  <si>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</si>
  <si>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</si>
  <si>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</si>
  <si>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</si>
  <si>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</si>
  <si>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</si>
  <si>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</si>
  <si>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</si>
  <si>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</si>
  <si>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</si>
  <si>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</si>
  <si>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</si>
  <si>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</si>
  <si>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</si>
  <si>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</si>
  <si>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</si>
  <si>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</si>
  <si>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</si>
  <si>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</si>
  <si>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</si>
  <si>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</si>
  <si>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</si>
  <si>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</si>
  <si>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</si>
  <si>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</si>
  <si>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</si>
  <si>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</si>
  <si>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</si>
  <si>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</si>
  <si>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</si>
  <si>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</si>
  <si>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</si>
  <si>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</si>
  <si>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</si>
  <si>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</si>
  <si>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</si>
  <si>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</si>
  <si>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</si>
  <si>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</si>
  <si>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</si>
  <si>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</si>
  <si>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</si>
  <si>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</si>
  <si>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</si>
  <si>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</si>
  <si>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</si>
  <si>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</si>
  <si>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</si>
  <si>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</si>
  <si>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</si>
  <si>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</si>
  <si>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</si>
  <si>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</si>
  <si>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</si>
  <si>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</si>
  <si>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</si>
  <si>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</si>
  <si>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</si>
  <si>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</si>
  <si>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</si>
  <si>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</si>
  <si>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</si>
  <si>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</si>
  <si>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</si>
  <si>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</si>
  <si>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</si>
  <si>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</si>
  <si>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</si>
  <si>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</si>
  <si>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</si>
  <si>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</si>
  <si>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</si>
  <si>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</si>
  <si>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</si>
  <si>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</si>
  <si>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</si>
  <si>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</si>
  <si>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</si>
  <si>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</si>
  <si>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</si>
  <si>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</si>
  <si>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</si>
  <si>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</si>
  <si>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</si>
  <si>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</si>
  <si>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</si>
  <si>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</si>
  <si>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</si>
  <si>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</si>
  <si>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</si>
  <si>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</si>
  <si>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</si>
  <si>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</si>
  <si>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</si>
  <si>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</si>
  <si>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</si>
  <si>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</si>
  <si>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</si>
  <si>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</si>
  <si>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</si>
  <si>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</si>
  <si>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</si>
  <si>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</si>
  <si>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</si>
  <si>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</si>
  <si>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</si>
  <si>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</si>
  <si>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</si>
  <si>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</si>
  <si>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</si>
  <si>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</si>
  <si>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</si>
  <si>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</si>
  <si>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</si>
  <si>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</si>
  <si>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</si>
  <si>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</si>
  <si>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</si>
  <si>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</si>
  <si>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</si>
  <si>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</si>
  <si>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</si>
  <si>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</si>
  <si>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</si>
  <si>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</si>
  <si>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</si>
  <si>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</si>
  <si>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</si>
  <si>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</si>
  <si>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</si>
  <si>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</si>
  <si>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</si>
  <si>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</si>
  <si>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</si>
  <si>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</si>
  <si>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</si>
  <si>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</si>
  <si>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</si>
  <si>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</si>
  <si>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</si>
  <si>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</si>
  <si>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</si>
  <si>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</si>
  <si>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</si>
  <si>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</si>
  <si>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</si>
  <si>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</si>
  <si>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</si>
  <si>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</si>
  <si>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</si>
  <si>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</si>
  <si>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</si>
  <si>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</si>
  <si>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</si>
  <si>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</si>
  <si>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</si>
  <si>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</si>
  <si>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</si>
  <si>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</si>
  <si>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</si>
  <si>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</si>
  <si>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</si>
  <si>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</si>
  <si>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</si>
  <si>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</si>
  <si>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</si>
  <si>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</si>
  <si>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</si>
  <si>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</si>
  <si>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</si>
  <si>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</si>
  <si>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</si>
  <si>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</si>
  <si>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</si>
  <si>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</si>
  <si>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</si>
  <si>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</si>
  <si>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</si>
  <si>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</si>
  <si>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</si>
  <si>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</si>
  <si>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</si>
  <si>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</si>
  <si>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</si>
  <si>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</si>
  <si>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</si>
  <si>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</si>
  <si>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</si>
  <si>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</si>
  <si>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</si>
  <si>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</si>
  <si>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</si>
  <si>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</si>
  <si>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</si>
  <si>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</si>
  <si>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</si>
  <si>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</si>
  <si>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</si>
  <si>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</si>
  <si>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</si>
  <si>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</si>
  <si>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</si>
  <si>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</si>
  <si>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</si>
  <si>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</si>
  <si>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</si>
  <si>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</si>
  <si>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</si>
  <si>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</si>
  <si>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</si>
  <si>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</si>
  <si>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</si>
  <si>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</si>
  <si>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</si>
  <si>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</si>
  <si>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</si>
  <si>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</si>
  <si>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</si>
  <si>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</si>
  <si>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</si>
  <si>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</si>
  <si>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</si>
  <si>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</si>
  <si>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</si>
  <si>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</si>
  <si>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</si>
  <si>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</si>
  <si>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</si>
  <si>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</si>
  <si>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</si>
  <si>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</si>
  <si>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</si>
  <si>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</si>
  <si>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</si>
  <si>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</si>
  <si>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</si>
  <si>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</si>
  <si>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</si>
  <si>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</si>
  <si>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</si>
  <si>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</si>
  <si>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</si>
  <si>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</si>
  <si>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</si>
  <si>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</si>
  <si>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</si>
  <si>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</si>
  <si>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</si>
  <si>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</si>
  <si>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</si>
  <si>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</si>
  <si>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</si>
  <si>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</si>
  <si>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</si>
  <si>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</si>
  <si>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</si>
  <si>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</si>
  <si>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</si>
  <si>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</si>
  <si>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</si>
  <si>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</si>
  <si>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</si>
  <si>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</si>
  <si>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</si>
  <si>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</si>
  <si>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</si>
  <si>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</si>
  <si>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</si>
  <si>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</si>
  <si>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</si>
  <si>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</si>
  <si>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</si>
  <si>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</si>
  <si>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</si>
  <si>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</si>
  <si>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</si>
  <si>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</si>
  <si>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</si>
  <si>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</si>
  <si>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</si>
  <si>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</si>
  <si>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</si>
  <si>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</si>
  <si>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</si>
  <si>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</si>
  <si>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</si>
  <si>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</si>
  <si>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</si>
  <si>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</si>
  <si>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</si>
  <si>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</si>
  <si>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</si>
  <si>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</si>
  <si>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</si>
  <si>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</si>
  <si>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</si>
  <si>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</si>
  <si>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</si>
  <si>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</si>
  <si>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</si>
  <si>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</si>
  <si>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</si>
  <si>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</si>
  <si>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</si>
  <si>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</si>
  <si>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</si>
  <si>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</si>
  <si>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</si>
  <si>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</si>
  <si>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</si>
  <si>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</si>
  <si>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</si>
  <si>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</si>
  <si>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</si>
  <si>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</si>
  <si>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</si>
  <si>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</si>
  <si>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</si>
  <si>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</si>
  <si>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</si>
  <si>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</si>
  <si>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</si>
  <si>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</si>
  <si>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</si>
  <si>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</si>
  <si>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</si>
  <si>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</si>
  <si>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</si>
  <si>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</si>
  <si>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</si>
  <si>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</si>
  <si>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</si>
  <si>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</si>
  <si>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</si>
  <si>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</si>
  <si>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</si>
  <si>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</si>
  <si>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</si>
  <si>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</si>
  <si>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</si>
  <si>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</si>
  <si>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</si>
  <si>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</si>
  <si>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</si>
  <si>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</si>
  <si>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</si>
  <si>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</si>
  <si>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</si>
  <si>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</si>
  <si>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</si>
  <si>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</si>
  <si>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</si>
  <si>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</si>
  <si>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</si>
  <si>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</si>
  <si>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</si>
  <si>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</si>
  <si>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</si>
  <si>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</si>
  <si>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</si>
  <si>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</si>
  <si>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</si>
  <si>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</si>
  <si>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</si>
  <si>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</si>
  <si>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</si>
  <si>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</si>
  <si>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</si>
  <si>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</si>
  <si>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</si>
  <si>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</si>
  <si>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</si>
  <si>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</si>
  <si>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</si>
  <si>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</si>
  <si>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</si>
  <si>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</si>
  <si>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</si>
  <si>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</si>
  <si>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</si>
  <si>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</si>
  <si>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</si>
  <si>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</si>
  <si>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</si>
  <si>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</si>
  <si>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</si>
  <si>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</si>
  <si>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</si>
  <si>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</si>
  <si>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</si>
  <si>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</si>
  <si>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</si>
  <si>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</si>
  <si>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</si>
  <si>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</si>
  <si>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</si>
  <si>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</si>
  <si>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</si>
  <si>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</si>
  <si>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</si>
  <si>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</si>
  <si>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</si>
  <si>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</si>
  <si>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</si>
  <si>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</si>
  <si>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</si>
  <si>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</si>
  <si>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</si>
  <si>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</si>
  <si>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</si>
  <si>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</si>
  <si>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</si>
  <si>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</si>
  <si>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</si>
  <si>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</si>
  <si>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</si>
  <si>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</si>
  <si>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</si>
  <si>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</si>
  <si>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</si>
  <si>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</si>
  <si>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</si>
  <si>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</si>
  <si>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</si>
  <si>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</si>
  <si>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</si>
  <si>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</si>
  <si>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</si>
  <si>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</si>
  <si>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</si>
  <si>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</si>
  <si>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</si>
  <si>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</si>
  <si>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</si>
  <si>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</si>
  <si>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</si>
  <si>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</si>
  <si>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</si>
  <si>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</si>
  <si>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</si>
  <si>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</si>
  <si>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</si>
  <si>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</si>
  <si>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</si>
  <si>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</si>
  <si>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</si>
  <si>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</si>
  <si>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</si>
  <si>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</si>
  <si>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</si>
  <si>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</si>
  <si>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</si>
  <si>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</si>
  <si>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</si>
  <si>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</si>
  <si>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</si>
  <si>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</si>
  <si>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</si>
  <si>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</si>
  <si>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</si>
  <si>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</si>
  <si>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</si>
  <si>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</si>
  <si>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</si>
  <si>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</si>
  <si>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</si>
  <si>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</si>
  <si>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</si>
  <si>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</si>
  <si>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</si>
  <si>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</si>
  <si>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</si>
  <si>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</si>
  <si>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</si>
  <si>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</si>
  <si>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</si>
  <si>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</si>
  <si>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</si>
  <si>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</si>
  <si>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</si>
  <si>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</si>
  <si>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</si>
  <si>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</si>
  <si>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</si>
  <si>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</si>
  <si>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</si>
  <si>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</si>
  <si>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</si>
  <si>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</si>
  <si>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</si>
  <si>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</si>
  <si>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</si>
  <si>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</si>
  <si>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</si>
  <si>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</si>
  <si>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</si>
  <si>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</si>
  <si>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</si>
  <si>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</si>
  <si>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</si>
  <si>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</si>
  <si>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</si>
  <si>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</si>
  <si>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</si>
  <si>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</si>
  <si>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</si>
  <si>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</si>
  <si>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</si>
  <si>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</si>
  <si>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</si>
  <si>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</si>
  <si>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</si>
  <si>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</si>
  <si>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</si>
  <si>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</si>
  <si>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</si>
  <si>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</si>
  <si>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</si>
  <si>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</si>
  <si>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</si>
  <si>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</si>
  <si>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</si>
  <si>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</si>
  <si>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</si>
  <si>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</si>
  <si>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</si>
  <si>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</si>
  <si>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</si>
  <si>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</si>
  <si>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</si>
  <si>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</si>
  <si>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</si>
  <si>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</si>
  <si>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</si>
  <si>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</si>
  <si>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</si>
  <si>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</si>
  <si>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</si>
  <si>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</si>
  <si>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</si>
  <si>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</si>
  <si>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</si>
  <si>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</si>
  <si>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</si>
  <si>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</si>
  <si>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</si>
  <si>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</si>
  <si>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</si>
  <si>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</si>
  <si>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</si>
  <si>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</si>
  <si>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</si>
  <si>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</si>
  <si>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</si>
  <si>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</si>
  <si>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</si>
  <si>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</si>
  <si>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</si>
  <si>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</si>
  <si>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</si>
  <si>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</si>
  <si>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</si>
  <si>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</si>
  <si>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</si>
  <si>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</si>
  <si>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</si>
  <si>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</si>
  <si>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</si>
  <si>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</si>
  <si>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</si>
  <si>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</si>
  <si>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</si>
  <si>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</si>
  <si>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</si>
  <si>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</si>
  <si>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</si>
  <si>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</si>
  <si>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</si>
  <si>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</si>
  <si>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</si>
  <si>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</si>
  <si>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</si>
  <si>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</si>
  <si>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</si>
  <si>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</si>
  <si>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</si>
  <si>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</si>
  <si>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</si>
  <si>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</si>
  <si>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</si>
  <si>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</si>
  <si>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</si>
  <si>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</si>
  <si>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</si>
  <si>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</si>
  <si>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</si>
  <si>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</si>
  <si>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</si>
  <si>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</si>
  <si>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</si>
  <si>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</si>
  <si>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</si>
  <si>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</si>
  <si>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</si>
  <si>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</si>
  <si>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</si>
  <si>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</si>
  <si>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</si>
  <si>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</si>
  <si>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</si>
  <si>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</si>
  <si>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</si>
  <si>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</si>
  <si>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</si>
  <si>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</si>
  <si>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</si>
  <si>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</si>
  <si>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</si>
  <si>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</si>
  <si>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</si>
  <si>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</si>
  <si>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</si>
  <si>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</si>
  <si>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</si>
  <si>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</si>
  <si>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</si>
  <si>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</si>
  <si>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</si>
  <si>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</si>
  <si>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</si>
  <si>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</si>
  <si>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</si>
  <si>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</si>
  <si>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</si>
  <si>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</si>
  <si>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</si>
  <si>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</si>
  <si>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</si>
  <si>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</si>
  <si>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</si>
  <si>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</si>
  <si>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</si>
  <si>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</si>
  <si>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</si>
  <si>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</si>
  <si>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</si>
  <si>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</si>
  <si>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</si>
  <si>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</si>
  <si>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</si>
  <si>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</si>
  <si>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</si>
  <si>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</si>
  <si>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</si>
  <si>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</si>
  <si>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</si>
  <si>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</si>
  <si>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</si>
  <si>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</si>
  <si>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</si>
  <si>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</si>
  <si>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</si>
  <si>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</si>
  <si>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</si>
  <si>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</si>
  <si>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</si>
  <si>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</si>
  <si>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</si>
  <si>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</si>
  <si>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</si>
  <si>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</si>
  <si>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</si>
  <si>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</si>
  <si>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</si>
  <si>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</si>
  <si>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</si>
  <si>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</si>
  <si>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</si>
  <si>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</si>
  <si>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</si>
  <si>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</si>
  <si>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</si>
  <si>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</si>
  <si>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</si>
  <si>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</si>
  <si>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</si>
  <si>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</si>
  <si>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</si>
  <si>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</si>
  <si>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</si>
  <si>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</si>
  <si>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</si>
  <si>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</si>
  <si>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</si>
  <si>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</si>
  <si>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</si>
  <si>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</si>
  <si>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</si>
  <si>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</si>
  <si>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</si>
  <si>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</si>
  <si>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</si>
  <si>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</si>
  <si>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</si>
  <si>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</si>
  <si>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</si>
  <si>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</si>
  <si>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</si>
  <si>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</si>
  <si>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</si>
  <si>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</si>
  <si>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</si>
  <si>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</si>
  <si>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</si>
  <si>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</si>
  <si>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</si>
  <si>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</si>
  <si>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</si>
  <si>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</si>
  <si>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</si>
  <si>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</si>
  <si>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</si>
  <si>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</si>
  <si>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</si>
  <si>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</si>
  <si>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</si>
  <si>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</si>
  <si>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</si>
  <si>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</si>
  <si>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</si>
  <si>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</si>
  <si>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</si>
  <si>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</si>
  <si>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</si>
  <si>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</si>
  <si>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</si>
  <si>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</si>
  <si>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</si>
  <si>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</si>
  <si>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</si>
  <si>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</si>
  <si>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</si>
  <si>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</si>
  <si>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</si>
  <si>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</si>
  <si>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</si>
  <si>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</si>
  <si>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</si>
  <si>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</si>
  <si>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</si>
  <si>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</si>
  <si>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</si>
  <si>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</si>
  <si>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</si>
  <si>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</si>
  <si>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</si>
  <si>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</si>
  <si>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</si>
  <si>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</si>
  <si>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</si>
  <si>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</si>
  <si>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</si>
  <si>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</si>
  <si>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</si>
  <si>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</si>
  <si>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</si>
  <si>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</si>
  <si>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</si>
  <si>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</si>
  <si>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</si>
  <si>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</si>
  <si>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</si>
  <si>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</si>
  <si>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</si>
  <si>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</si>
  <si>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</si>
  <si>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</si>
  <si>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</si>
  <si>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</si>
  <si>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</si>
  <si>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</si>
  <si>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</si>
  <si>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</si>
  <si>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</si>
  <si>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</si>
  <si>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</si>
  <si>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</si>
  <si>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</si>
  <si>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</si>
  <si>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</si>
  <si>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</si>
  <si>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</si>
  <si>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</si>
  <si>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</si>
  <si>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</si>
  <si>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</si>
  <si>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</si>
  <si>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</si>
  <si>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</si>
  <si>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</si>
  <si>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</si>
  <si>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</si>
  <si>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</si>
  <si>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</si>
  <si>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</si>
  <si>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</si>
  <si>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</si>
  <si>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</si>
  <si>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</si>
  <si>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</si>
  <si>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</si>
  <si>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</si>
  <si>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</si>
  <si>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</si>
  <si>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</si>
  <si>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</si>
  <si>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</si>
  <si>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</si>
  <si>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</si>
  <si>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</si>
  <si>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</si>
  <si>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</si>
  <si>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</si>
  <si>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</si>
  <si>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</si>
  <si>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</si>
  <si>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</si>
  <si>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</si>
  <si>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</si>
  <si>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</si>
  <si>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</si>
  <si>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</si>
  <si>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</si>
  <si>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</si>
  <si>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</si>
  <si>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</si>
  <si>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</si>
  <si>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</si>
  <si>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</si>
  <si>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</si>
  <si>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</si>
  <si>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</si>
  <si>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</si>
  <si>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</si>
  <si>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</si>
  <si>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</si>
  <si>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</si>
  <si>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</si>
  <si>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</si>
  <si>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</si>
  <si>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</si>
  <si>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</si>
  <si>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</si>
  <si>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</si>
  <si>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</si>
  <si>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</si>
  <si>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</si>
  <si>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</si>
  <si>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</si>
  <si>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Em intervalo das 13h20 até 14h20.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</si>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</sst>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J390" activePane="bottomRight" state="frozen"/>
      <selection pane="bottomRight" activeCell="AB403" sqref="AB4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1478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0.66666666666666607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1479</v>
      </c>
      <c r="BK368" s="17" t="s">
        <v>1479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1480</v>
      </c>
      <c r="BK373" s="360" t="s">
        <v>1480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1480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1480</v>
      </c>
      <c r="BK374" s="17" t="s">
        <v>1480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1480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1480</v>
      </c>
      <c r="BK375" s="17" t="s">
        <v>1480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1480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1480</v>
      </c>
      <c r="BK376" s="17" t="s">
        <v>1480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1480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1481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1482</v>
      </c>
      <c r="BK379" s="17" t="s">
        <v>1483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1483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1486</v>
      </c>
      <c r="BK384" s="17" t="s">
        <v>1486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1487</v>
      </c>
      <c r="BK385" s="17" t="s">
        <v>1487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1488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1488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1489</v>
      </c>
      <c r="BK387" s="17" t="s">
        <v>1490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1491</v>
      </c>
      <c r="BK388" s="17" t="s">
        <v>1492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1492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1493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1493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1494</v>
      </c>
      <c r="I390" s="173" t="s">
        <v>1495</v>
      </c>
      <c r="J390" s="217">
        <v>55</v>
      </c>
      <c r="K390" s="217">
        <v>136</v>
      </c>
      <c r="L390" s="84" t="s">
        <v>317</v>
      </c>
      <c r="M390" s="204" t="s">
        <v>1496</v>
      </c>
      <c r="N390" s="204" t="s">
        <v>1497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1498</v>
      </c>
      <c r="BK390" s="17" t="s">
        <v>1498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>V89</v>
      </c>
      <c r="B393" s="171"/>
      <c r="C393" s="8" t="str">
        <f>IF(BS_CONTROLE[[#This Row],[DATA]]="","",WEEKNUM(BS_CONTROLE[[#This Row],[DATA]]))</f>
        <v/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232</v>
      </c>
      <c r="L393" s="217">
        <v>229.7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666</v>
      </c>
      <c r="Y393" s="158"/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ZVK-ZDS</v>
      </c>
      <c r="AN393" s="258" t="str">
        <f>IF(BS_CONTROLE[[#This Row],[SB]]=0, "-", BS_CONTROLE[[#This Row],[SB]])</f>
        <v>ZVK2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232</v>
      </c>
      <c r="AQ393" s="260">
        <f>IF(BS_CONTROLE[[#This Row],[KM - Fim]]=0, "-", BS_CONTROLE[[#This Row],[KM - Fim]])</f>
        <v>229.7</v>
      </c>
      <c r="AR393" s="39"/>
      <c r="AS393" s="39"/>
      <c r="AT393" s="39"/>
      <c r="AU393" s="39"/>
      <c r="AV393" s="39"/>
      <c r="AW393" s="39"/>
      <c r="AX393" s="39"/>
      <c r="AY393" s="293">
        <f t="shared" si="38"/>
        <v>0</v>
      </c>
      <c r="AZ393" s="14"/>
      <c r="BA393" s="72"/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>EDSON (TP-780)</v>
      </c>
      <c r="B394" s="171"/>
      <c r="C394" s="8" t="str">
        <f>IF(BS_CONTROLE[[#This Row],[DATA]]="","",WEEKNUM(BS_CONTROLE[[#This Row],[DATA]]))</f>
        <v/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/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>
        <f t="shared" si="38"/>
        <v>0</v>
      </c>
      <c r="AZ394" s="14"/>
      <c r="BA394" s="72"/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>ROGÉRIO (TP-730)</v>
      </c>
      <c r="B395" s="171"/>
      <c r="C395" s="8" t="str">
        <f>IF(BS_CONTROLE[[#This Row],[DATA]]="","",WEEKNUM(BS_CONTROLE[[#This Row],[DATA]]))</f>
        <v/>
      </c>
      <c r="D395" s="52" t="s">
        <v>637</v>
      </c>
      <c r="E395" s="29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200.2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/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200.2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>
        <f t="shared" si="38"/>
        <v>0</v>
      </c>
      <c r="AZ395" s="14"/>
      <c r="BA395" s="72"/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>ROBSON (TF-701)</v>
      </c>
      <c r="B396" s="171"/>
      <c r="C396" s="8" t="str">
        <f>IF(BS_CONTROLE[[#This Row],[DATA]]="","",WEEKNUM(BS_CONTROLE[[#This Row],[DATA]]))</f>
        <v/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/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>
        <f t="shared" si="38"/>
        <v>0</v>
      </c>
      <c r="AZ396" s="14"/>
      <c r="BA396" s="72"/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>W6046007</v>
      </c>
      <c r="B399" s="171">
        <v>46007</v>
      </c>
      <c r="C399" s="8">
        <f>IF(BS_CONTROLE[[#This Row],[DATA]]="","",WEEKNUM(BS_CONTROLE[[#This Row],[DATA]]))</f>
        <v>51</v>
      </c>
      <c r="D399" s="52" t="s">
        <v>540</v>
      </c>
      <c r="E399" s="294">
        <v>366</v>
      </c>
      <c r="F399" s="172" t="s">
        <v>479</v>
      </c>
      <c r="G399" s="9" t="str">
        <f>IF(D399="","*",VLOOKUP(F399,BS_ATIVIDADE[#All],3,FALSE))</f>
        <v>DORMENTE - DESCARGA</v>
      </c>
      <c r="H399" s="173" t="s">
        <v>208</v>
      </c>
      <c r="I399" s="173" t="s">
        <v>208</v>
      </c>
      <c r="J399" s="217">
        <v>55</v>
      </c>
      <c r="K399" s="217">
        <v>118.16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99" s="173">
        <v>0.35416666666666669</v>
      </c>
      <c r="P399" s="173">
        <v>4.1666666666666664E-2</v>
      </c>
      <c r="Q399" s="84">
        <v>200</v>
      </c>
      <c r="R399" s="10" t="str">
        <f>IFERROR(_xlfn.XLOOKUP(F399, BS_ATIVIDADE[ATIVIDADE],BS_ATIVIDADE[UNIDADE] ), "*")</f>
        <v>Nº DE DORMENTES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9" s="81" t="str">
        <f>IFERROR(_xlfn.XLOOKUP(J399, BASE_MAPA!$D$2:$D$260, BASE_MAPA!$I$2:$I$260), "ERRO")</f>
        <v>ZKE</v>
      </c>
      <c r="V399" s="198" t="s">
        <v>937</v>
      </c>
      <c r="W399" s="173" t="s">
        <v>1481</v>
      </c>
      <c r="X399" s="218" t="s">
        <v>666</v>
      </c>
      <c r="Y399" s="158"/>
      <c r="Z399" s="158"/>
      <c r="AA399" s="84" t="s">
        <v>1447</v>
      </c>
      <c r="AB399" s="71" t="s">
        <v>657</v>
      </c>
      <c r="AC399" s="71" t="s">
        <v>652</v>
      </c>
      <c r="AD399" s="173">
        <v>0.33333333333333331</v>
      </c>
      <c r="AE399" s="84">
        <v>7694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DESCARGA - DORMENTE</v>
      </c>
      <c r="AJ399" s="9" t="str">
        <f>IF(D399="","*",VLOOKUP(AI399,BS_ATIVIDADE[#Data],3,FALSE))</f>
        <v>DORMENTE - DESCARGA</v>
      </c>
      <c r="AK399" s="258" t="str">
        <f>IF(BS_CONTROLE[[#This Row],[Local - Partida]]=0, "-", BS_CONTROLE[[#This Row],[Local - Partida]])</f>
        <v>ZEM1302</v>
      </c>
      <c r="AL399" s="258" t="str">
        <f>IF(BS_CONTROLE[[#This Row],[Local - Encerramento]]=0, "-", BS_CONTROLE[[#This Row],[Local - Encerramento]])</f>
        <v>ZEM1302</v>
      </c>
      <c r="AM399" s="258" t="str">
        <f>IF(BS_CONTROLE[[#This Row],[Entre - Estações]]=0, "-", BS_CONTROLE[[#This Row],[Entre - Estações]])</f>
        <v>ZLU-ZWI</v>
      </c>
      <c r="AN399" s="258" t="str">
        <f>IF(BS_CONTROLE[[#This Row],[SB]]=0, "-", BS_CONTROLE[[#This Row],[SB]])</f>
        <v>ZWI1132</v>
      </c>
      <c r="AO399" s="259">
        <f>IF(BS_CONTROLE[[#This Row],[SUB]]=0, "-", BS_CONTROLE[[#This Row],[SUB]])</f>
        <v>55</v>
      </c>
      <c r="AP399" s="260">
        <f>IF(BS_CONTROLE[[#This Row],[KM - Inicio]]=0, "-", BS_CONTROLE[[#This Row],[KM - Inicio]])</f>
        <v>118.16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>
        <f t="shared" si="38"/>
        <v>0</v>
      </c>
      <c r="AZ399" s="14"/>
      <c r="BA399" s="72"/>
      <c r="BB399" s="10" t="str">
        <f>IFERROR(_xlfn.XLOOKUP(AI399, BS_ATIVIDADE[ATIVIDADE],BS_ATIVIDADE[UNIDADE] ), "*")</f>
        <v>Nº DE DORMENTES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9" s="11" t="str">
        <f>IFERROR(_xlfn.XLOOKUP(AO399, BASE_MAPA!$D$2:$D$260, BASE_MAPA!$I$2:$I$260), "ERRO")</f>
        <v>ZKE</v>
      </c>
      <c r="BF399" s="261" t="str">
        <f>IF(BS_CONTROLE[[#This Row],[Responsavel pelo boletim]]=0, "-", BS_CONTROLE[[#This Row],[Responsavel pelo boletim]])</f>
        <v>Felipe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>MOD ZRB ZEV</v>
      </c>
      <c r="B401" s="171"/>
      <c r="C401" s="8" t="str">
        <f>IF(BS_CONTROLE[[#This Row],[DATA]]="","",WEEKNUM(BS_CONTROLE[[#This Row],[DATA]]))</f>
        <v/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1499</v>
      </c>
      <c r="X401" s="218" t="s">
        <v>661</v>
      </c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/>
      <c r="AS401" s="39"/>
      <c r="AT401" s="39"/>
      <c r="AU401" s="39"/>
      <c r="AV401" s="39"/>
      <c r="AW401" s="39"/>
      <c r="AX401" s="39"/>
      <c r="AY401" s="293">
        <f t="shared" si="38"/>
        <v>0</v>
      </c>
      <c r="AZ401" s="14"/>
      <c r="BA401" s="72"/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>V96</v>
      </c>
      <c r="B402" s="171"/>
      <c r="C402" s="8" t="str">
        <f>IF(BS_CONTROLE[[#This Row],[DATA]]="","",WEEKNUM(BS_CONTROLE[[#This Row],[DATA]]))</f>
        <v/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0.3125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/>
      <c r="X402" s="218" t="s">
        <v>661</v>
      </c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>
        <f t="shared" si="38"/>
        <v>0</v>
      </c>
      <c r="AZ402" s="14"/>
      <c r="BA402" s="72"/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>W97</v>
      </c>
      <c r="B403" s="171"/>
      <c r="C403" s="8" t="str">
        <f>IF(BS_CONTROLE[[#This Row],[DATA]]="","",WEEKNUM(BS_CONTROLE[[#This Row],[DATA]]))</f>
        <v/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156.9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03" s="173">
        <v>0.29166666666666669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/>
      <c r="X403" s="218" t="s">
        <v>661</v>
      </c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>
        <f>IF(BS_CONTROLE[[#This Row],[SB]]=0, "-", BS_CONTROLE[[#This Row],[SB]])</f>
        <v>1571561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156.9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>
        <f t="shared" si="38"/>
        <v>0</v>
      </c>
      <c r="AZ403" s="14"/>
      <c r="BA403" s="72"/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400 O404:Q451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X393:Y396 V394:V395 V396:W396 V397:Y45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2 Z397:AD398 Z393:Z396 AA394:AD396 Z400:AD451 Z399:AA399 AD399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" name="Range1_14_1_1_1"/>
    <protectedRange sqref="F6:F7 F25 F14 F31:F32 F56:F57 F80:F81 F113 F107:F108 F159:F160 F169 F187:F188 F218 F220 F251 F253 F261 F283 F287 F337 F341 F364 F368 F393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3:AE393" name="Range1_19_1"/>
    <protectedRange sqref="AA27:AC27 AA25:AE25 AA75:AC75 AA103:AC103 AA148:AE148 AA151:AC151 AA212:AE212 AA301:AE301 AA326:AE326 AA358:AE358" name="Range1_19_1_4"/>
    <protectedRange sqref="D39:D42 D119:D122 D227:D230 D271 D299 D353 D401:D403" name="Range1_14_1_1_1_1"/>
    <protectedRange sqref="F39:F42 F119:F122 F227:F231 F271 F299 F353 F401:F403" name="Range1_14_1_2_1_1"/>
    <protectedRange sqref="J40:J42 J120:J122 J402:J403" name="Range1_16_2_1"/>
    <protectedRange sqref="O40:Q42 O120:Q122 O402:Q403" name="Range1_17_2_1"/>
    <protectedRange sqref="AA41:AC42 AA40:AE40 AA121:AC122 AA120:AE120 AA351:AC351 AB350:AC350 AB379:AC379 AB399:AC39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1500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1501</v>
      </c>
      <c r="C4" s="331" t="s">
        <v>1502</v>
      </c>
      <c r="D4" s="331" t="s">
        <v>1503</v>
      </c>
      <c r="E4" s="331" t="s">
        <v>1504</v>
      </c>
      <c r="F4" s="331" t="s">
        <v>8</v>
      </c>
      <c r="G4" s="331" t="s">
        <v>1505</v>
      </c>
    </row>
    <row r="5" spans="2:8">
      <c r="B5" s="334" t="s">
        <v>1152</v>
      </c>
      <c r="C5" s="334">
        <v>314978</v>
      </c>
      <c r="D5" s="334" t="s">
        <v>1506</v>
      </c>
      <c r="E5" s="334" t="s">
        <v>539</v>
      </c>
      <c r="F5" s="334" t="s">
        <v>101</v>
      </c>
      <c r="G5" s="335">
        <v>46143</v>
      </c>
    </row>
    <row r="6" spans="2:8">
      <c r="B6" s="334" t="s">
        <v>1507</v>
      </c>
      <c r="C6" s="334">
        <v>256790</v>
      </c>
      <c r="D6" s="334" t="s">
        <v>1508</v>
      </c>
      <c r="E6" s="334" t="s">
        <v>539</v>
      </c>
      <c r="F6" s="334" t="s">
        <v>1509</v>
      </c>
      <c r="G6" s="335">
        <v>45992</v>
      </c>
    </row>
    <row r="7" spans="2:8">
      <c r="B7" s="334" t="s">
        <v>1510</v>
      </c>
      <c r="C7" s="334">
        <v>265193</v>
      </c>
      <c r="D7" s="334" t="s">
        <v>1511</v>
      </c>
      <c r="E7" s="334" t="s">
        <v>540</v>
      </c>
      <c r="F7" s="334" t="s">
        <v>1494</v>
      </c>
      <c r="G7" s="334" t="s">
        <v>1512</v>
      </c>
    </row>
    <row r="8" spans="2:8">
      <c r="B8" s="334" t="s">
        <v>1513</v>
      </c>
      <c r="C8" s="334">
        <v>293716</v>
      </c>
      <c r="D8" s="334" t="s">
        <v>1514</v>
      </c>
      <c r="E8" s="334" t="s">
        <v>540</v>
      </c>
      <c r="F8" s="334" t="s">
        <v>1494</v>
      </c>
      <c r="G8" s="335">
        <v>46204</v>
      </c>
    </row>
    <row r="9" spans="2:8">
      <c r="B9" s="334" t="s">
        <v>1515</v>
      </c>
      <c r="C9" s="334">
        <v>257258</v>
      </c>
      <c r="D9" s="334" t="s">
        <v>1516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1517</v>
      </c>
      <c r="C10" s="334">
        <v>371147</v>
      </c>
      <c r="D10" s="334" t="s">
        <v>1518</v>
      </c>
      <c r="E10" s="334" t="s">
        <v>541</v>
      </c>
      <c r="F10" s="334" t="s">
        <v>144</v>
      </c>
      <c r="G10" s="334" t="s">
        <v>1512</v>
      </c>
    </row>
    <row r="11" spans="2:8">
      <c r="B11" s="334" t="s">
        <v>1519</v>
      </c>
      <c r="C11" s="334">
        <v>259230</v>
      </c>
      <c r="D11" s="334" t="s">
        <v>1520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1521</v>
      </c>
      <c r="C12" s="334">
        <v>370705</v>
      </c>
      <c r="D12" s="334"/>
      <c r="E12" s="334" t="s">
        <v>541</v>
      </c>
      <c r="F12" s="334" t="s">
        <v>144</v>
      </c>
      <c r="G12" s="334" t="s">
        <v>1512</v>
      </c>
    </row>
    <row r="13" spans="2:8">
      <c r="B13" s="334" t="s">
        <v>1522</v>
      </c>
      <c r="C13" s="334">
        <v>258542</v>
      </c>
      <c r="D13" s="334" t="s">
        <v>1523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1524</v>
      </c>
      <c r="C14" s="334">
        <v>257050</v>
      </c>
      <c r="D14" s="334" t="s">
        <v>1525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1527</v>
      </c>
      <c r="E3" s="326" t="s">
        <v>1528</v>
      </c>
      <c r="F3" s="326" t="s">
        <v>1529</v>
      </c>
      <c r="G3" s="331" t="s">
        <v>1530</v>
      </c>
      <c r="H3" s="326" t="s">
        <v>1531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1532</v>
      </c>
      <c r="H4" s="329"/>
    </row>
    <row r="5" spans="3:8" ht="29.25">
      <c r="C5" s="327" t="s">
        <v>539</v>
      </c>
      <c r="D5" s="327" t="s">
        <v>1533</v>
      </c>
      <c r="E5" s="328">
        <v>46000</v>
      </c>
      <c r="F5" s="327">
        <v>9000</v>
      </c>
      <c r="G5" s="332" t="s">
        <v>1534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1535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1536</v>
      </c>
      <c r="G7" s="333" t="s">
        <v>1537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1538</v>
      </c>
      <c r="H8" s="327"/>
    </row>
    <row r="9" spans="3:8">
      <c r="C9" s="327" t="s">
        <v>463</v>
      </c>
      <c r="D9" s="327" t="s">
        <v>1539</v>
      </c>
      <c r="E9" s="328">
        <v>45993</v>
      </c>
      <c r="F9" s="327">
        <v>12000</v>
      </c>
      <c r="G9" s="332" t="s">
        <v>1540</v>
      </c>
      <c r="H9" s="327"/>
    </row>
    <row r="10" spans="3:8" ht="29.25">
      <c r="C10" s="327" t="s">
        <v>463</v>
      </c>
      <c r="D10" s="327" t="s">
        <v>1541</v>
      </c>
      <c r="E10" s="328">
        <v>45993</v>
      </c>
      <c r="F10" s="327">
        <v>9000</v>
      </c>
      <c r="G10" s="332" t="s">
        <v>1542</v>
      </c>
      <c r="H10" s="327"/>
    </row>
    <row r="11" spans="3:8" ht="29.25">
      <c r="C11" s="327" t="s">
        <v>463</v>
      </c>
      <c r="D11" s="327" t="s">
        <v>1543</v>
      </c>
      <c r="E11" s="328">
        <v>45993</v>
      </c>
      <c r="F11" s="327">
        <v>10000</v>
      </c>
      <c r="G11" s="332" t="s">
        <v>1542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1544</v>
      </c>
      <c r="H13" s="327" t="s">
        <v>1545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1546</v>
      </c>
      <c r="W1" s="397"/>
      <c r="X1" s="397"/>
      <c r="Y1" s="104"/>
    </row>
    <row r="2" spans="1:25" s="101" customFormat="1" ht="11.25" customHeight="1">
      <c r="A2" s="105" t="s">
        <v>1547</v>
      </c>
      <c r="B2" s="105" t="s">
        <v>1548</v>
      </c>
      <c r="C2" s="105" t="s">
        <v>313</v>
      </c>
      <c r="D2" s="106" t="s">
        <v>873</v>
      </c>
      <c r="E2" s="106" t="s">
        <v>874</v>
      </c>
      <c r="F2" s="106" t="s">
        <v>1549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1550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Oportunidade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 t="str">
        <f>IF(SP_SUL!B393="","*",SP_SUL!B393)</f>
        <v>*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ZVK-ZDS</v>
      </c>
      <c r="L391" s="339" t="str">
        <f>IF(SP_SUL!N393="","*",SP_SUL!N393)</f>
        <v>ZVK2</v>
      </c>
      <c r="M391" s="111">
        <f>IF(SP_SUL!J393="","*",SP_SUL!J393)</f>
        <v>56</v>
      </c>
      <c r="N391" s="270">
        <f>IF(SP_SUL!K393="","*",SP_SUL!K393)</f>
        <v>232</v>
      </c>
      <c r="O391" s="270">
        <f>IF(SP_SUL!L393="","*",SP_SUL!L393)</f>
        <v>229.7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 t="str">
        <f>IF(SP_SUL!B394="","*",SP_SUL!B394)</f>
        <v>*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 t="str">
        <f>IF(SP_SUL!B395="","*",SP_SUL!B395)</f>
        <v>*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200.2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 t="str">
        <f>IF(SP_SUL!B396="","*",SP_SUL!B396)</f>
        <v>*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ZKE-ZEV</v>
      </c>
      <c r="F397" s="110">
        <f>IF(SP_SUL!B399="","*",SP_SUL!B399)</f>
        <v>46007</v>
      </c>
      <c r="G397" s="110" t="str">
        <f>IF(SP_SUL!D399="","*",SP_SUL!D399)</f>
        <v>W60</v>
      </c>
      <c r="H397" s="110" t="str">
        <f>IF(SP_SUL!F399="","*",SP_SUL!F399)</f>
        <v>PDM - DESCARGA - DORMENTE</v>
      </c>
      <c r="I397" s="110" t="str">
        <f>IF(SP_SUL!H399="","*",SP_SUL!H399)</f>
        <v>ZEM1302</v>
      </c>
      <c r="J397" s="110" t="str">
        <f>IF(SP_SUL!I399="","*",SP_SUL!I399)</f>
        <v>ZEM1302</v>
      </c>
      <c r="K397" s="110" t="str">
        <f>IF(SP_SUL!M399="","*",SP_SUL!M399)</f>
        <v>ZLU-ZWI</v>
      </c>
      <c r="L397" s="339" t="str">
        <f>IF(SP_SUL!N399="","*",SP_SUL!N399)</f>
        <v>ZWI1132</v>
      </c>
      <c r="M397" s="111">
        <f>IF(SP_SUL!J399="","*",SP_SUL!J399)</f>
        <v>55</v>
      </c>
      <c r="N397" s="270">
        <f>IF(SP_SUL!K399="","*",SP_SUL!K399)</f>
        <v>118.16</v>
      </c>
      <c r="O397" s="270" t="str">
        <f>IF(SP_SUL!L399="","*",SP_SUL!L399)</f>
        <v>-</v>
      </c>
      <c r="P397" s="111"/>
      <c r="Q397" s="128">
        <f>IF(SP_SUL!O399="","*",SP_SUL!O399)</f>
        <v>0.35416666666666669</v>
      </c>
      <c r="R397" s="128">
        <f>IF(SP_SUL!P399="","*",SP_SUL!P399)</f>
        <v>4.1666666666666664E-2</v>
      </c>
      <c r="S397" s="110" t="str">
        <f>IF(SP_SUL!Q399="","*",CONCATENATE(SP_SUL!Q399," ",SP_SUL!R399))</f>
        <v>200 Nº DE DORMENTES</v>
      </c>
      <c r="T397" s="110" t="str">
        <f>IF(SP_SUL!V399="","*",SP_SUL!V399)</f>
        <v>Felipe</v>
      </c>
      <c r="U397" s="110" t="str">
        <f>IF(SP_SUL!W399="","*",SP_SUL!W399)</f>
        <v>Descarga de Dormentes</v>
      </c>
      <c r="V397" s="112">
        <f ca="1">_xlfn.XLOOKUP(G397&amp;$V$2,BS_CONTROLE[CHAVE],BS_CONTROLE[Quantidade_11],"-")</f>
        <v>430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 t="str">
        <f>IF(SP_SUL!B401="","*",SP_SUL!B401)</f>
        <v>*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 t="str">
        <f>IF(SP_SUL!B402="","*",SP_SUL!B402)</f>
        <v>*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0.3125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 t="str">
        <f>IF(SP_SUL!B403="","*",SP_SUL!B403)</f>
        <v>*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>
        <f>IF(SP_SUL!N403="","*",SP_SUL!N403)</f>
        <v>1571561</v>
      </c>
      <c r="M401" s="111">
        <f>IF(SP_SUL!J403="","*",SP_SUL!J403)</f>
        <v>48</v>
      </c>
      <c r="N401" s="270">
        <f>IF(SP_SUL!K403="","*",SP_SUL!K403)</f>
        <v>156.9</v>
      </c>
      <c r="O401" s="270" t="str">
        <f>IF(SP_SUL!L403="","*",SP_SUL!L403)</f>
        <v>-</v>
      </c>
      <c r="P401" s="111"/>
      <c r="Q401" s="128">
        <f>IF(SP_SUL!O403="","*",SP_SUL!O403)</f>
        <v>0.29166666666666669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1551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1552</v>
      </c>
      <c r="D5" s="399"/>
      <c r="E5" s="399"/>
      <c r="F5" s="399"/>
      <c r="G5" s="399"/>
      <c r="H5" s="399"/>
      <c r="I5" s="399"/>
      <c r="J5" s="400"/>
      <c r="K5" s="401" t="s">
        <v>1553</v>
      </c>
      <c r="L5" s="402"/>
      <c r="M5" s="402"/>
      <c r="N5" s="402"/>
      <c r="O5" s="403" t="s">
        <v>1554</v>
      </c>
      <c r="P5" s="404"/>
      <c r="Q5" s="405"/>
    </row>
    <row r="6" spans="1:17" s="94" customFormat="1" ht="15.75" customHeight="1">
      <c r="A6" s="88" t="s">
        <v>1549</v>
      </c>
      <c r="B6" s="95" t="s">
        <v>1548</v>
      </c>
      <c r="C6" s="96" t="s">
        <v>873</v>
      </c>
      <c r="D6" s="97" t="s">
        <v>874</v>
      </c>
      <c r="E6" s="96" t="s">
        <v>1555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1556</v>
      </c>
      <c r="M6" s="139" t="s">
        <v>335</v>
      </c>
      <c r="N6" s="140" t="s">
        <v>868</v>
      </c>
      <c r="O6" s="246" t="s">
        <v>911</v>
      </c>
      <c r="P6" s="157"/>
      <c r="Q6" s="193" t="s">
        <v>1557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Oportunidade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ZVK-ZDS</v>
      </c>
      <c r="H374" s="154">
        <f>IF(SP_SUL!K393="","*",SP_SUL!K393)</f>
        <v>232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ZVK-ZDS</v>
      </c>
      <c r="M374" s="141">
        <f>IF(SP_SUL!AP393="","*",SP_SUL!AP393)</f>
        <v>232</v>
      </c>
      <c r="N374" s="141" t="str">
        <f>IF(SP_SUL!AM393="","*",SP_SUL!AM393)</f>
        <v>ZVK-ZDS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200.2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200.2</v>
      </c>
      <c r="N376" s="141" t="str">
        <f>IF(SP_SUL!AM395="","*",SP_SUL!AM395)</f>
        <v>ZYU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0.3125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156.9</v>
      </c>
      <c r="I383" s="132">
        <f>IF(SP_SUL!O403="","*",SP_SUL!O403)</f>
        <v>0.29166666666666669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156.9</v>
      </c>
      <c r="N383" s="141" t="str">
        <f>IF(SP_SUL!AM403="","*",SP_SUL!AM403)</f>
        <v>ZEJ-ZEV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1558</v>
      </c>
      <c r="C2" s="96" t="s">
        <v>858</v>
      </c>
      <c r="D2" s="96" t="s">
        <v>860</v>
      </c>
      <c r="E2" s="96" t="s">
        <v>1559</v>
      </c>
      <c r="F2" s="96" t="s">
        <v>1560</v>
      </c>
      <c r="G2" s="96" t="s">
        <v>1561</v>
      </c>
      <c r="H2" s="96" t="s">
        <v>1562</v>
      </c>
      <c r="I2" s="96" t="s">
        <v>1563</v>
      </c>
      <c r="J2" s="96" t="s">
        <v>1564</v>
      </c>
      <c r="K2" s="131" t="s">
        <v>1565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ZVK-ZDS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2025-12-16T16:47:52Z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