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88" documentId="8_{B6337239-1A00-434D-AAD0-422EA1FEB5AE}" xr6:coauthVersionLast="47" xr6:coauthVersionMax="47" xr10:uidLastSave="{D8233C22-B217-450E-BC5D-AA1F07069AB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8" i="1" l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27" i="1" l="1"/>
  <c r="BD476" i="1" a="1"/>
  <c r="BD476" i="1" s="1"/>
  <c r="BD479" i="1" a="1"/>
  <c r="BD479" i="1" s="1"/>
  <c r="AJ245" i="1"/>
  <c r="AJ238" i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<sst xmlns="http://schemas.openxmlformats.org/spreadsheetml/2006/main" count="8082" uniqueCount="1823">
  <si>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</si>
  <si>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</si>
  <si>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</si>
  <si>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</si>
  <si>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</si>
  <si>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</si>
  <si>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</si>
  <si>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</si>
  <si>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</si>
  <si>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</si>
  <si>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</si>
  <si>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</si>
  <si>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</si>
  <si>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</si>
  <si>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</si>
  <si>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</si>
  <si>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</si>
  <si>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</si>
  <si>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</si>
  <si>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</si>
  <si>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</si>
  <si>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</si>
  <si>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</si>
  <si>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</si>
  <si>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</si>
  <si>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</si>
  <si>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</si>
  <si>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</si>
  <si>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</si>
  <si>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</si>
  <si>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</si>
  <si>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</si>
  <si>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</si>
  <si>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</si>
  <si>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</si>
  <si>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</si>
  <si>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</si>
  <si>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</si>
  <si>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</si>
  <si>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</si>
  <si>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</si>
  <si>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</si>
  <si>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</si>
  <si>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</si>
  <si>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</si>
  <si>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</si>
  <si>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</si>
  <si>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</si>
  <si>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</si>
  <si>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</si>
  <si>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</si>
  <si>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</si>
  <si>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</si>
  <si>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</si>
  <si>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</si>
  <si>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</si>
  <si>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</si>
  <si>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</si>
  <si>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</si>
  <si>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</si>
  <si>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</si>
  <si>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</si>
  <si>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</si>
  <si>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</si>
  <si>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</si>
  <si>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</si>
  <si>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</si>
  <si>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</si>
  <si>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</si>
  <si>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</si>
  <si>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</si>
  <si>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</si>
  <si>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</si>
  <si>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</si>
  <si>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</si>
  <si>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</si>
  <si>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</si>
  <si>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</si>
  <si>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</si>
  <si>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</si>
  <si>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</si>
  <si>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</si>
  <si>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</si>
  <si>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</si>
  <si>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</si>
  <si>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</si>
  <si>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</si>
  <si>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</si>
  <si>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</si>
  <si>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</si>
  <si>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</si>
  <si>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</si>
  <si>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</si>
  <si>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</si>
  <si>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</si>
  <si>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</si>
  <si>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</si>
  <si>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</si>
  <si>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</si>
  <si>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</si>
  <si>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</si>
  <si>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</si>
  <si>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</si>
  <si>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</si>
  <si>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</si>
  <si>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</si>
  <si>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</si>
  <si>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</si>
  <si>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</si>
  <si>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</si>
  <si>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</si>
  <si>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</si>
  <si>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</si>
  <si>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</si>
  <si>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</si>
  <si>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</si>
  <si>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</si>
  <si>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</si>
  <si>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</si>
  <si>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</si>
  <si>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</si>
  <si>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</si>
  <si>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</si>
  <si>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</si>
  <si>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</si>
  <si>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</si>
  <si>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</si>
  <si>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</si>
  <si>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</si>
  <si>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</si>
  <si>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</si>
  <si>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</si>
  <si>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</si>
  <si>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</si>
  <si>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</si>
  <si>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</si>
  <si>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</si>
  <si>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</si>
  <si>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</si>
  <si>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</si>
  <si>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</si>
  <si>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</si>
  <si>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</si>
  <si>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</si>
  <si>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</si>
  <si>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</si>
  <si>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</si>
  <si>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</si>
  <si>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</si>
  <si>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</si>
  <si>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</si>
  <si>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</si>
  <si>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</si>
  <si>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</si>
  <si>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</si>
  <si>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</si>
  <si>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</si>
  <si>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</si>
  <si>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</si>
  <si>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</si>
  <si>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</si>
  <si>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</si>
  <si>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</si>
  <si>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</si>
  <si>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</si>
  <si>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</si>
  <si>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</si>
  <si>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</si>
  <si>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</si>
  <si>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</si>
  <si>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</si>
  <si>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</si>
  <si>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</si>
  <si>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</si>
  <si>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</si>
  <si>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</si>
  <si>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</si>
  <si>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</si>
  <si>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</si>
  <si>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</si>
  <si>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</si>
  <si>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</si>
  <si>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</si>
  <si>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</si>
  <si>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</si>
  <si>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</si>
  <si>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</si>
  <si>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</si>
  <si>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</si>
  <si>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</si>
  <si>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</si>
  <si>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</si>
  <si>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</si>
  <si>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</si>
  <si>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</si>
  <si>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</si>
  <si>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</si>
  <si>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</si>
  <si>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</si>
  <si>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</si>
  <si>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</si>
  <si>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</si>
  <si>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</si>
  <si>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</si>
  <si>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</si>
  <si>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</si>
  <si>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</si>
  <si>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</si>
  <si>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</si>
  <si>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</si>
  <si>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</si>
  <si>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</si>
  <si>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</si>
  <si>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</si>
  <si>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</si>
  <si>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</si>
  <si>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</si>
  <si>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</si>
  <si>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</si>
  <si>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</si>
  <si>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</si>
  <si>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</si>
  <si>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</si>
  <si>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</si>
  <si>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</si>
  <si>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</si>
  <si>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</si>
  <si>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</si>
  <si>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</si>
  <si>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</si>
  <si>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</si>
  <si>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</si>
  <si>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</si>
  <si>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</si>
  <si>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</si>
  <si>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</si>
  <si>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</si>
  <si>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</si>
  <si>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</si>
  <si>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</si>
  <si>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</si>
  <si>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</si>
  <si>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</si>
  <si>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</si>
  <si>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</si>
  <si>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</si>
  <si>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</si>
  <si>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</si>
  <si>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</si>
  <si>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</si>
  <si>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</si>
  <si>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</si>
  <si>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</si>
  <si>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</si>
  <si>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</si>
  <si>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</si>
  <si>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</si>
  <si>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</si>
  <si>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</si>
  <si>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</si>
  <si>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</si>
  <si>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</si>
  <si>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</si>
  <si>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</si>
  <si>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</si>
  <si>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</si>
  <si>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</si>
  <si>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</si>
  <si>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</si>
  <si>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</si>
  <si>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</si>
  <si>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</si>
  <si>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</si>
  <si>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</si>
  <si>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</si>
  <si>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</si>
  <si>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</si>
  <si>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</si>
  <si>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</si>
  <si>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</si>
  <si>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</si>
  <si>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</si>
  <si>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</si>
  <si>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</si>
  <si>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</si>
  <si>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</si>
  <si>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</si>
  <si>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</si>
  <si>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</si>
  <si>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</si>
  <si>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</si>
  <si>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</si>
  <si>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</si>
  <si>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</si>
  <si>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</si>
  <si>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</si>
  <si>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</si>
  <si>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</si>
  <si>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</si>
  <si>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</si>
  <si>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</si>
  <si>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</si>
  <si>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</si>
  <si>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</si>
  <si>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</si>
  <si>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</si>
  <si>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</si>
  <si>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</si>
  <si>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</si>
  <si>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</si>
  <si>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</si>
  <si>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</si>
  <si>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</si>
  <si>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</si>
  <si>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</si>
  <si>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</si>
  <si>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</si>
  <si>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</si>
  <si>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</si>
  <si>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</si>
  <si>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</si>
  <si>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</si>
  <si>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</si>
  <si>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</si>
  <si>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</si>
  <si>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</si>
  <si>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</si>
  <si>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</si>
  <si>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</si>
  <si>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</si>
  <si>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</si>
  <si>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</si>
  <si>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</si>
  <si>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</si>
  <si>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</si>
  <si>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</si>
  <si>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</si>
  <si>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</si>
  <si>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</si>
  <si>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</si>
  <si>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</si>
  <si>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</si>
  <si>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</si>
  <si>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</si>
  <si>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</si>
  <si>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</si>
  <si>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</si>
  <si>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</si>
  <si>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</si>
  <si>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</si>
  <si>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</si>
  <si>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</si>
  <si>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</si>
  <si>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</si>
  <si>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</si>
  <si>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</si>
  <si>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</si>
  <si>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</si>
  <si>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</si>
  <si>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</si>
  <si>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</si>
  <si>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</si>
  <si>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</si>
  <si>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</si>
  <si>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</si>
  <si>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</si>
  <si>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</si>
  <si>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</si>
  <si>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</si>
  <si>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</si>
  <si>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</si>
  <si>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</si>
  <si>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</si>
  <si>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</si>
  <si>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</si>
  <si>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</si>
  <si>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</si>
  <si>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</si>
  <si>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</si>
  <si>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</si>
  <si>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</si>
  <si>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</si>
  <si>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</si>
  <si>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</si>
  <si>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</si>
  <si>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</si>
  <si>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</si>
  <si>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</si>
  <si>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</si>
  <si>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</si>
  <si>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</si>
  <si>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</si>
  <si>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</si>
  <si>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</si>
  <si>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</si>
  <si>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</si>
  <si>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</si>
  <si>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</si>
  <si>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</si>
  <si>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</si>
  <si>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</si>
  <si>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</si>
  <si>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</si>
  <si>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</si>
  <si>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</si>
  <si>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</si>
  <si>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</si>
  <si>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</si>
  <si>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</si>
  <si>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</si>
  <si>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</si>
  <si>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</si>
  <si>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</si>
  <si>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</si>
  <si>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</si>
  <si>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</si>
  <si>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</si>
  <si>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</si>
  <si>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</si>
  <si>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</si>
  <si>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</si>
  <si>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</si>
  <si>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</si>
  <si>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</si>
  <si>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</si>
  <si>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</si>
  <si>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</si>
  <si>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</si>
  <si>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</si>
  <si>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</si>
  <si>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</si>
  <si>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</si>
  <si>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</si>
  <si>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</si>
  <si>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</si>
  <si>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</si>
  <si>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</si>
  <si>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</si>
  <si>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</si>
  <si>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</si>
  <si>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</si>
  <si>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</si>
  <si>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</si>
  <si>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</si>
  <si>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</si>
  <si>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</si>
  <si>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</si>
  <si>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</si>
  <si>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</si>
  <si>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</si>
  <si>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</si>
  <si>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</si>
  <si>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</si>
  <si>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</si>
  <si>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</si>
  <si>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</si>
  <si>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</si>
  <si>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</si>
  <si>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</si>
  <si>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</si>
  <si>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</si>
  <si>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</si>
  <si>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</si>
  <si>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</si>
  <si>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</si>
  <si>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</si>
  <si>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</si>
  <si>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</si>
  <si>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</si>
  <si>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</si>
  <si>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</si>
  <si>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</si>
  <si>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</si>
  <si>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</si>
  <si>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</si>
  <si>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</si>
  <si>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</si>
  <si>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</si>
  <si>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</si>
  <si>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</si>
  <si>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</si>
  <si>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</si>
  <si>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</si>
  <si>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</si>
  <si>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</si>
  <si>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</si>
  <si>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</si>
  <si>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</si>
  <si>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</si>
  <si>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</si>
  <si>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</si>
  <si>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</si>
  <si>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</si>
  <si>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</si>
  <si>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</si>
  <si>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</si>
  <si>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</si>
  <si>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</si>
  <si>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</si>
  <si>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</si>
  <si>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</si>
  <si>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</si>
  <si>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</si>
  <si>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</si>
  <si>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</si>
  <si>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</si>
  <si>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</si>
  <si>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</si>
  <si>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</si>
  <si>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</si>
  <si>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</si>
  <si>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</si>
  <si>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</si>
  <si>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</si>
  <si>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</si>
  <si>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</si>
  <si>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</si>
  <si>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</si>
  <si>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</si>
  <si>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</si>
  <si>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</si>
  <si>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</si>
  <si>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</si>
  <si>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</si>
  <si>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</si>
  <si>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</si>
  <si>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</si>
  <si>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</si>
  <si>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</si>
  <si>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</si>
  <si>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</si>
  <si>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</si>
  <si>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</si>
  <si>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</si>
  <si>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</si>
  <si>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</si>
  <si>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</si>
  <si>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</si>
  <si>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</si>
  <si>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</si>
  <si>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</si>
  <si>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</si>
  <si>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</si>
  <si>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</si>
  <si>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</si>
  <si>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</si>
  <si>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</si>
  <si>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</si>
  <si>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</si>
  <si>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</si>
  <si>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</si>
  <si>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</si>
  <si>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</si>
  <si>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</si>
  <si>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</si>
  <si>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</si>
  <si>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</si>
  <si>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</si>
  <si>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</si>
  <si>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</si>
  <si>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</si>
  <si>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</si>
  <si>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</si>
  <si>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</si>
  <si>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</si>
  <si>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</si>
  <si>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</si>
  <si>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</si>
  <si>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</si>
  <si>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</si>
  <si>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</si>
  <si>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</si>
  <si>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</si>
  <si>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</si>
  <si>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</si>
  <si>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</si>
  <si>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</si>
  <si>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</si>
  <si>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</si>
  <si>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</si>
  <si>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</si>
  <si>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</si>
  <si>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</si>
  <si>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</si>
  <si>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</si>
  <si>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</si>
  <si>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</si>
  <si>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</si>
  <si>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</si>
  <si>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</si>
  <si>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</si>
  <si>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</si>
  <si>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</si>
  <si>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</si>
  <si>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</si>
  <si>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</si>
  <si>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</si>
  <si>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</si>
  <si>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</si>
  <si>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</si>
  <si>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</si>
  <si>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</si>
  <si>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</si>
  <si>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</si>
  <si>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</si>
  <si>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</si>
  <si>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</si>
  <si>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</si>
  <si>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</si>
  <si>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</si>
  <si>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</si>
  <si>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</si>
  <si>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</si>
  <si>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</si>
  <si>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</si>
  <si>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</si>
  <si>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</si>
  <si>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</si>
  <si>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</si>
  <si>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</si>
  <si>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</si>
  <si>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</si>
  <si>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</si>
  <si>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</si>
  <si>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</si>
  <si>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</si>
  <si>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</si>
  <si>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</si>
  <si>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</si>
  <si>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</si>
  <si>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</si>
  <si>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</si>
  <si>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</si>
  <si>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</si>
  <si>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</si>
  <si>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</si>
  <si>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</si>
  <si>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</si>
  <si>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</si>
  <si>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</si>
  <si>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</si>
  <si>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</si>
  <si>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</si>
  <si>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</si>
  <si>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</si>
  <si>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</si>
  <si>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</si>
  <si>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</si>
  <si>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</si>
  <si>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</si>
  <si>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</si>
  <si>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</si>
  <si>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</si>
  <si>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</si>
  <si>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</si>
  <si>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</si>
  <si>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</si>
  <si>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</si>
  <si>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</si>
  <si>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</si>
  <si>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</si>
  <si>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</si>
  <si>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</si>
  <si>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</si>
  <si>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</si>
  <si>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</si>
  <si>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</si>
  <si>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</si>
  <si>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</si>
  <si>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</si>
  <si>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</si>
  <si>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</si>
  <si>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</si>
  <si>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</si>
  <si>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</si>
  <si>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</si>
  <si>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</si>
  <si>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</si>
  <si>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</si>
  <si>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</si>
  <si>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</si>
  <si>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</si>
  <si>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</si>
  <si>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</si>
  <si>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</si>
  <si>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</si>
  <si>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</si>
  <si>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</si>
  <si>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</si>
  <si>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</si>
  <si>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</si>
  <si>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</si>
  <si>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</si>
  <si>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</si>
  <si>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</si>
  <si>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</si>
  <si>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</si>
  <si>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</si>
  <si>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</si>
  <si>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</si>
  <si>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</si>
  <si>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</si>
  <si>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</si>
  <si>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</si>
  <si>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</si>
  <si>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</si>
  <si>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</si>
  <si>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</si>
  <si>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</si>
  <si>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</si>
  <si>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</si>
  <si>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</si>
  <si>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</si>
  <si>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</si>
  <si>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</si>
  <si>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</si>
  <si>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</si>
  <si>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</si>
  <si>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</si>
  <si>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</si>
  <si>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</si>
  <si>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</si>
  <si>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</si>
  <si>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</si>
  <si>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</si>
  <si>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</si>
  <si>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</si>
  <si>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</si>
  <si>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</si>
  <si>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</si>
  <si>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</si>
  <si>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</si>
  <si>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</si>
  <si>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</si>
  <si>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</si>
  <si>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</si>
  <si>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</si>
  <si>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</si>
  <si>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</si>
  <si>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</si>
  <si>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</si>
  <si>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</si>
  <si>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</si>
  <si>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</si>
  <si>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</si>
  <si>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</si>
  <si>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</si>
  <si>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</si>
  <si>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</si>
  <si>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</si>
  <si>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</si>
  <si>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</si>
  <si>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</si>
  <si>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</si>
  <si>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</si>
  <si>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</si>
  <si>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</si>
  <si>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</si>
  <si>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</si>
  <si>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</si>
  <si>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</si>
  <si>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</si>
  <si>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</si>
  <si>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</si>
  <si>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</si>
  <si>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</si>
  <si>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</si>
  <si>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</si>
  <si>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</si>
  <si>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</si>
  <si>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</si>
  <si>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</si>
  <si>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</si>
  <si>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</si>
  <si>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</si>
  <si>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</si>
  <si>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</si>
  <si>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</si>
  <si>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</si>
  <si>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</si>
  <si>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</si>
  <si>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</si>
  <si>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</si>
  <si>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</si>
  <si>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</si>
  <si>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</si>
  <si>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</si>
  <si>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</si>
  <si>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</si>
  <si>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</si>
  <si>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</si>
  <si>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</si>
  <si>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</si>
  <si>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</si>
  <si>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</si>
  <si>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</si>
  <si>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</si>
  <si>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</si>
  <si>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</si>
  <si>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</si>
  <si>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</si>
  <si>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</si>
  <si>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</si>
  <si>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</si>
  <si>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</si>
  <si>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</si>
  <si>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</si>
  <si>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</si>
  <si>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</si>
  <si>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</si>
  <si>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</si>
  <si>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</si>
  <si>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</si>
  <si>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</si>
  <si>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</si>
  <si>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</si>
  <si>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</si>
  <si>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</si>
  <si>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</si>
  <si>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</si>
  <si>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</si>
  <si>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</si>
  <si>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</si>
  <si>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</si>
  <si>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</si>
  <si>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</si>
  <si>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</si>
  <si>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</si>
  <si>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</si>
  <si>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</si>
  <si>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</si>
  <si>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</si>
  <si>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</si>
  <si>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</si>
  <si>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</si>
  <si>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</si>
  <si>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</si>
  <si>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</si>
  <si>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</si>
  <si>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</si>
  <si>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</si>
  <si>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</si>
  <si>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</si>
  <si>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</si>
  <si>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</si>
  <si>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</si>
  <si>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</si>
  <si>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</si>
  <si>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</si>
  <si>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</si>
  <si>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</si>
  <si>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</si>
  <si>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</si>
  <si>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</si>
  <si>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</si>
  <si>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</si>
  <si>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</si>
  <si>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</si>
  <si>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</si>
  <si>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</si>
  <si>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</si>
  <si>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</si>
  <si>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</si>
  <si>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</si>
  <si>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</si>
  <si>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</si>
  <si>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</si>
  <si>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</si>
  <si>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</si>
  <si>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</si>
  <si>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</si>
  <si>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</si>
  <si>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</si>
  <si>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</si>
  <si>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</si>
  <si>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</si>
  <si>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</si>
  <si>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</si>
  <si>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</si>
  <si>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</si>
  <si>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</si>
  <si>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</si>
  <si>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</si>
  <si>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</si>
  <si>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</si>
  <si>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</si>
  <si>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</si>
  <si>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</si>
  <si>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</si>
  <si>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</si>
  <si>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</si>
  <si>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</si>
  <si>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</si>
  <si>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</si>
  <si>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</si>
  <si>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</si>
  <si>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</si>
  <si>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</si>
  <si>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</si>
  <si>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</si>
  <si>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</si>
  <si>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</si>
  <si>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</si>
  <si>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</si>
  <si>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</si>
  <si>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</si>
  <si>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</si>
  <si>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</si>
  <si>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</si>
  <si>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</si>
  <si>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</si>
  <si>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</si>
  <si>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</si>
  <si>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</si>
  <si>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</si>
  <si>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</si>
  <si>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</si>
  <si>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</si>
  <si>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</si>
  <si>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</si>
  <si>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</si>
  <si>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</si>
  <si>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</si>
  <si>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</si>
  <si>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</si>
  <si>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</si>
  <si>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</si>
  <si>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</si>
  <si>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</si>
  <si>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</si>
  <si>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</si>
  <si>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</si>
  <si>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</si>
  <si>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</si>
  <si>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</si>
  <si>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</si>
  <si>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</si>
  <si>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</si>
  <si>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</si>
  <si>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</si>
  <si>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</si>
  <si>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</si>
  <si>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</si>
  <si>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</si>
  <si>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</si>
  <si>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</si>
  <si>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</si>
  <si>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</si>
  <si>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</si>
  <si>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</si>
  <si>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</si>
  <si>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</si>
  <si>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</si>
  <si>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</si>
  <si>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</si>
  <si>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</si>
  <si>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</si>
  <si>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</si>
  <si>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</si>
  <si>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</si>
  <si>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</si>
  <si>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</si>
  <si>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</si>
  <si>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</si>
  <si>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</si>
  <si>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</si>
  <si>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</si>
  <si>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</si>
  <si>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</si>
  <si>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</si>
  <si>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</si>
  <si>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</si>
  <si>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</si>
  <si>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</si>
  <si>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</si>
  <si>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</si>
  <si>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</si>
  <si>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</si>
  <si>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</si>
  <si>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</si>
  <si>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</si>
  <si>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</si>
  <si>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</si>
  <si>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</si>
  <si>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</si>
  <si>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</si>
  <si>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</si>
  <si>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</si>
  <si>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</si>
  <si>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</si>
  <si>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</si>
  <si>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</si>
  <si>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</si>
  <si>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</si>
  <si>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</si>
  <si>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</si>
  <si>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</si>
  <si>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</si>
  <si>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</si>
  <si>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</si>
  <si>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</si>
  <si>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</si>
  <si>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</si>
  <si>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</si>
  <si>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</si>
  <si>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</si>
  <si>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</si>
  <si>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</si>
  <si>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</si>
  <si>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</si>
  <si>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</si>
  <si>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</si>
  <si>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</si>
  <si>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</si>
  <si>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</si>
  <si>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</si>
  <si>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</si>
  <si>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</si>
  <si>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</si>
  <si>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</si>
  <si>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</si>
  <si>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</si>
  <si>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</si>
  <si>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</si>
  <si>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</si>
  <si>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</si>
  <si>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</si>
  <si>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</si>
  <si>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</si>
  <si>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</si>
  <si>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</si>
  <si>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</si>
  <si>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</si>
  <si>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</si>
  <si>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</si>
  <si>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</si>
  <si>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</si>
  <si>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</si>
  <si>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</si>
  <si>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</si>
  <si>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</si>
  <si>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</si>
  <si>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</si>
  <si>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</si>
  <si>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</si>
  <si>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</si>
  <si>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</si>
  <si>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</si>
  <si>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</si>
  <si>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</si>
  <si>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</si>
  <si>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</si>
  <si>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</si>
  <si>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</si>
  <si>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</si>
  <si>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</si>
  <si>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</si>
  <si>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</si>
  <si>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</si>
  <si>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</si>
  <si>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</si>
  <si>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</si>
  <si>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</si>
  <si>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</si>
  <si>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</si>
  <si>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</si>
  <si>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</si>
  <si>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</si>
  <si>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</si>
  <si>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</si>
  <si>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</si>
  <si>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</si>
  <si>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</si>
  <si>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</si>
  <si>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</si>
  <si>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</si>
  <si>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</si>
  <si>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</si>
  <si>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</si>
  <si>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</si>
  <si>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</si>
  <si>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</si>
  <si>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</si>
  <si>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</si>
  <si>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</si>
  <si>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</si>
  <si>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</si>
  <si>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</si>
  <si>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</si>
  <si>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</si>
  <si>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</si>
  <si>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</si>
  <si>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</si>
  <si>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</si>
  <si>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</si>
  <si>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</si>
  <si>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</si>
  <si>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</si>
  <si>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</si>
  <si>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</si>
  <si>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</si>
  <si>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</si>
  <si>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</si>
  <si>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</si>
  <si>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</si>
  <si>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</si>
  <si>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</si>
  <si>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</si>
  <si>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</si>
  <si>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</si>
  <si>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</si>
  <si>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</si>
  <si>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</si>
  <si>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</si>
  <si>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</si>
  <si>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</si>
  <si>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</si>
  <si>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</si>
  <si>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</si>
  <si>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</si>
  <si>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</si>
  <si>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</si>
  <si>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</si>
  <si>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</si>
  <si>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</si>
  <si>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</si>
  <si>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</si>
  <si>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</si>
  <si>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</si>
  <si>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</si>
  <si>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</si>
  <si>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</si>
  <si>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</si>
  <si>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</si>
  <si>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</si>
  <si>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</si>
  <si>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</si>
  <si>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</si>
  <si>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</si>
  <si>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</si>
  <si>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</si>
  <si>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</si>
  <si>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</si>
  <si>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</si>
  <si>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</si>
  <si>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</si>
  <si>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</si>
  <si>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</si>
  <si>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</si>
  <si>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</si>
  <si>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</si>
  <si>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</si>
  <si>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</si>
  <si>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</si>
  <si>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</si>
  <si>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</si>
  <si>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</si>
  <si>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</si>
  <si>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</si>
  <si>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</si>
  <si>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</si>
  <si>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</si>
  <si>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</si>
  <si>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</si>
  <si>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</si>
  <si>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</si>
  <si>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</si>
  <si>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</si>
  <si>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</si>
  <si>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</si>
  <si>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</si>
  <si>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</si>
  <si>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</si>
  <si>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</si>
  <si>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</si>
  <si>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</si>
  <si>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</si>
  <si>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</si>
  <si>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</si>
  <si>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</si>
  <si>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</si>
  <si>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</si>
  <si>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</si>
  <si>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</si>
  <si>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</si>
  <si>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</si>
  <si>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</si>
  <si>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</si>
  <si>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</si>
  <si>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</si>
  <si>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</si>
  <si>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</si>
  <si>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</si>
  <si>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</si>
  <si>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</si>
  <si>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</si>
  <si>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</si>
  <si>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</si>
  <si>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</si>
  <si>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</si>
  <si>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</si>
  <si>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</si>
  <si>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</si>
  <si>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</si>
  <si>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</si>
  <si>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</si>
  <si>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</si>
  <si>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</si>
  <si>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</si>
  <si>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</si>
  <si>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</si>
  <si>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</si>
  <si>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</si>
  <si>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</si>
  <si>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</si>
  <si>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</si>
  <si>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</si>
  <si>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</si>
  <si>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</si>
  <si>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</si>
  <si>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</si>
  <si>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</si>
  <si>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</si>
  <si>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</si>
  <si>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</si>
  <si>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</si>
  <si>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</si>
  <si>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</si>
  <si>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</si>
  <si>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</si>
  <si>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</si>
  <si>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</si>
  <si>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</si>
  <si>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</si>
  <si>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</si>
  <si>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</si>
  <si>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</si>
  <si>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</si>
  <si>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</si>
  <si>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</si>
  <si>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</si>
  <si>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</si>
  <si>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</si>
  <si>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</si>
  <si>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</si>
  <si>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</si>
  <si>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</si>
  <si>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</si>
  <si>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</si>
  <si>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</si>
  <si>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</si>
  <si>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</si>
  <si>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</si>
  <si>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</si>
  <si>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</si>
  <si>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</si>
  <si>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</si>
  <si>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</si>
  <si>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</si>
  <si>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</si>
  <si>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</si>
  <si>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</si>
  <si>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</si>
  <si>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</si>
  <si>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</si>
  <si>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</si>
  <si>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</si>
  <si>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</si>
  <si>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</si>
  <si>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</si>
  <si>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</si>
  <si>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</si>
  <si>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</si>
  <si>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</si>
  <si>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</si>
  <si>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</si>
  <si>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</si>
  <si>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</si>
  <si>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</si>
  <si>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</si>
  <si>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</si>
  <si>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</si>
  <si>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</si>
  <si>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</si>
  <si>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</si>
  <si>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</si>
  <si>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</si>
  <si>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</si>
  <si>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</si>
  <si>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</si>
  <si>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</si>
  <si>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</si>
  <si>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</si>
  <si>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</si>
  <si>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</si>
  <si>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</si>
  <si>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</si>
  <si>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</si>
  <si>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</si>
  <si>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</si>
  <si>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</si>
  <si>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</si>
  <si>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</si>
  <si>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</si>
  <si>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</si>
  <si>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</si>
  <si>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</si>
  <si>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</si>
  <si>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</si>
  <si>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</si>
  <si>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</si>
  <si>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</si>
  <si>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</si>
  <si>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</si>
  <si>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</si>
  <si>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</si>
  <si>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</si>
  <si>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</si>
  <si>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</si>
  <si>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</si>
  <si>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</si>
  <si>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</si>
  <si>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</si>
  <si>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</si>
  <si>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</si>
  <si>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</si>
  <si>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</si>
  <si>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</si>
  <si>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</si>
  <si>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</si>
  <si>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</si>
  <si>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</si>
  <si>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</si>
  <si>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</si>
  <si>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</si>
  <si>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</si>
  <si>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</si>
  <si>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</si>
  <si>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</si>
  <si>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</si>
  <si>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</si>
  <si>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</si>
  <si>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</si>
  <si>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</si>
  <si>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</si>
  <si>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</si>
  <si>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</si>
  <si>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</si>
  <si>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</si>
  <si>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</si>
  <si>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</si>
  <si>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</si>
  <si>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</si>
  <si>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</si>
  <si>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</si>
  <si>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</si>
  <si>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</si>
  <si>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</si>
  <si>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</si>
  <si>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</si>
  <si>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</si>
  <si>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</si>
  <si>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</si>
  <si>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</si>
  <si>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</si>
  <si>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</si>
  <si>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</si>
  <si>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</si>
  <si>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</si>
  <si>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</si>
  <si>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</si>
  <si>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</si>
  <si>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</si>
  <si>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</si>
  <si>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</si>
  <si>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</si>
  <si>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</si>
  <si>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</si>
  <si>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</si>
  <si>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</si>
  <si>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</si>
  <si>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</si>
  <si>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</si>
  <si>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</si>
  <si>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</si>
  <si>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</si>
  <si>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</si>
  <si>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</si>
  <si>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</si>
  <si>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</si>
  <si>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</si>
  <si>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</si>
  <si>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</si>
  <si>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</si>
  <si>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</si>
  <si>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</si>
  <si>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</si>
  <si>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</si>
  <si>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</si>
  <si>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</si>
  <si>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</si>
  <si>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</si>
  <si>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</si>
  <si>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</si>
  <si>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</si>
  <si>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</si>
  <si>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</si>
  <si>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</si>
  <si>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</si>
  <si>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</si>
  <si>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</si>
  <si>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</si>
  <si>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</si>
  <si>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</si>
  <si>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</si>
  <si>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</si>
  <si>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</si>
  <si>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</si>
  <si>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</si>
  <si>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</si>
  <si>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</si>
  <si>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</si>
  <si>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</si>
  <si>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</si>
  <si>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</si>
  <si>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</si>
  <si>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</si>
  <si>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</si>
  <si>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</si>
  <si>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</si>
  <si>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</si>
  <si>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</si>
  <si>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</si>
  <si>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</si>
  <si>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</si>
  <si>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</si>
  <si>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</si>
  <si>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</si>
  <si>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</si>
  <si>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</si>
  <si>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</si>
  <si>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</si>
  <si>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</si>
  <si>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</si>
  <si>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</si>
  <si>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</si>
  <si>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</si>
  <si>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</si>
  <si>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</si>
  <si>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</si>
  <si>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</si>
  <si>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</si>
  <si>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</si>
  <si>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</si>
  <si>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</si>
  <si>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</si>
  <si>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</si>
  <si>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</si>
  <si>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</si>
  <si>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</si>
  <si>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</si>
  <si>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</si>
  <si>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</si>
  <si>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</si>
  <si>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</si>
  <si>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</si>
  <si>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</si>
  <si>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</si>
  <si>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</si>
  <si>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</si>
  <si>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</si>
  <si>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</si>
  <si>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</si>
  <si>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</si>
  <si>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</si>
  <si>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</si>
  <si>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</si>
  <si>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</si>
  <si>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</si>
  <si>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</si>
  <si>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</si>
  <si>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</si>
  <si>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</si>
  <si>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</si>
  <si>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</si>
  <si>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</si>
  <si>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</si>
  <si>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</si>
  <si>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</si>
  <si>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</si>
  <si>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</si>
  <si>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</si>
  <si>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</si>
  <si>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</si>
  <si>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</si>
  <si>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</si>
  <si>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</si>
  <si>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</si>
  <si>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</si>
  <si>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</si>
  <si>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</si>
  <si>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</si>
  <si>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</si>
  <si>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</si>
  <si>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</si>
  <si>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</si>
  <si>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</si>
  <si>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</si>
  <si>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</si>
  <si>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</si>
  <si>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</si>
  <si>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</si>
  <si>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</si>
  <si>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</si>
  <si>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</si>
  <si>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</si>
  <si>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</si>
  <si>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</si>
  <si>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</si>
  <si>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</si>
  <si>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</si>
  <si>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</si>
  <si>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</si>
  <si>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</si>
  <si>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</si>
  <si>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</si>
  <si>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</si>
  <si>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</si>
  <si>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</si>
  <si>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</si>
  <si>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</si>
  <si>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</si>
  <si>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</si>
  <si>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</si>
  <si>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</si>
  <si>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</si>
  <si>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</si>
  <si>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</si>
  <si>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</si>
  <si>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</si>
  <si>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</si>
  <si>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</si>
  <si>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</si>
  <si>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</si>
  <si>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</si>
  <si>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</si>
  <si>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</si>
  <si>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</si>
  <si>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</si>
  <si>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</si>
  <si>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</si>
  <si>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</si>
  <si>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</si>
  <si>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</si>
  <si>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</si>
  <si>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</si>
  <si>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</si>
  <si>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</si>
  <si>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</si>
  <si>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</si>
  <si>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</si>
  <si>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</si>
  <si>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</si>
  <si>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</si>
  <si>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</si>
  <si>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</si>
  <si>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</si>
  <si>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</si>
  <si>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</si>
  <si>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</si>
  <si>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</si>
  <si>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</si>
  <si>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</si>
  <si>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</si>
  <si>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</si>
  <si>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</si>
  <si>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</si>
  <si>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</si>
  <si>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</si>
  <si>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</si>
  <si>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</si>
  <si>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</si>
  <si>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</si>
  <si>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</si>
  <si>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</si>
  <si>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</si>
  <si>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</si>
  <si>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</si>
  <si>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</si>
  <si>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</si>
  <si>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</si>
  <si>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</si>
  <si>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</si>
  <si>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</si>
  <si>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</si>
  <si>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</si>
  <si>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</si>
  <si>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</si>
  <si>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</si>
  <si>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</si>
  <si>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</si>
  <si>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</si>
  <si>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</si>
  <si>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</si>
  <si>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</si>
  <si>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</si>
  <si>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</si>
  <si>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</si>
  <si>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</si>
  <si>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</si>
  <si>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</si>
  <si>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</si>
  <si>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</si>
  <si>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</si>
  <si>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</si>
  <si>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</si>
  <si>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</si>
  <si>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</si>
  <si>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</si>
  <si>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</si>
  <si>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</si>
  <si>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</si>
  <si>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</si>
  <si>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</si>
  <si>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</si>
  <si>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</si>
  <si>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</si>
  <si>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</si>
  <si>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</si>
  <si>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</si>
  <si>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</si>
  <si>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</si>
  <si>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</si>
  <si>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</si>
  <si>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</si>
  <si>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</si>
  <si>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</si>
  <si>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</si>
  <si>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</si>
  <si>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</si>
  <si>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</si>
  <si>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</si>
  <si>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</si>
  <si>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</si>
  <si>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</si>
  <si>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</si>
  <si>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</si>
  <si>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</si>
  <si>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</si>
  <si>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</si>
  <si>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</si>
  <si>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</si>
  <si>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</si>
  <si>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</si>
  <si>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</si>
  <si>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</si>
  <si>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</si>
  <si>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</si>
  <si>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</si>
  <si>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</si>
  <si>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</si>
  <si>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</si>
  <si>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</si>
  <si>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</si>
  <si>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</si>
  <si>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</si>
  <si>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</si>
  <si>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</si>
  <si>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</si>
  <si>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</si>
  <si>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</si>
  <si>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</si>
  <si>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</si>
  <si>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</si>
  <si>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</si>
  <si>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</si>
  <si>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</si>
  <si>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</si>
  <si>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</si>
  <si>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</si>
  <si>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</si>
  <si>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</si>
  <si>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</si>
  <si>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</si>
  <si>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</si>
  <si>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</si>
  <si>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</si>
  <si>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</si>
  <si>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</si>
  <si>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</si>
  <si>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</si>
  <si>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</si>
  <si>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</si>
  <si>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</si>
  <si>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</si>
  <si>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</si>
  <si>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</si>
  <si>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</si>
  <si>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</si>
  <si>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</si>
  <si>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</si>
  <si>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</si>
  <si>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</si>
  <si>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</si>
  <si>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</si>
  <si>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</si>
  <si>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</si>
  <si>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</si>
  <si>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</si>
  <si>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</si>
  <si>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</si>
  <si>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</si>
  <si>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</si>
  <si>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</si>
  <si>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</si>
  <si>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</si>
  <si>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</si>
  <si>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</si>
  <si>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</si>
  <si>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</si>
  <si>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</si>
  <si>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</si>
  <si>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</si>
  <si>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</si>
  <si>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</si>
  <si>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</si>
  <si>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</si>
  <si>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</si>
  <si>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</si>
  <si>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</si>
  <si>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</si>
  <si>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</si>
  <si>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</si>
  <si>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</si>
  <si>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</si>
  <si>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</si>
  <si>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</si>
  <si>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</si>
  <si>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</si>
  <si>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</si>
  <si>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</si>
  <si>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</si>
  <si>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</si>
  <si>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</si>
  <si>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</si>
  <si>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</si>
  <si>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</si>
  <si>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</si>
  <si>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</si>
  <si>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</si>
  <si>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</si>
  <si>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</si>
  <si>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</si>
  <si>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</si>
  <si>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 xml:space="preserve">MC1 09:23 autorizado as 09:24, em intervalo as </t>
  </si>
  <si>
    <t xml:space="preserve">PCM </t>
  </si>
  <si>
    <t xml:space="preserve">Deslocamento para TIQ </t>
  </si>
  <si>
    <t>Equipe sem descanso para D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</si>
  <si>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</si>
  <si>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</si>
  <si>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</si>
  <si>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</si>
  <si>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</si>
  <si>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</si>
  <si>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</si>
  <si>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 xml:space="preserve">Aguarda chegada do W50 para abertura de intervalo </t>
  </si>
  <si>
    <t xml:space="preserve">Em deslocamento para intervalo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</si>
  <si>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</si>
  <si>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</si>
  <si>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</si>
  <si>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</si>
  <si>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</si>
  <si>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</si>
  <si>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</si>
  <si>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</si>
  <si>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</si>
  <si>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</si>
  <si>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</si>
  <si>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</si>
  <si>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</si>
  <si>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</si>
  <si>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</si>
  <si>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 xml:space="preserve">MC1 09:27, autorizado as 11:26 em deslocamento para intervalo 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</si>
  <si>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</si>
  <si>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</si>
  <si>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</si>
  <si>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</si>
  <si>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</si>
  <si>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</si>
  <si>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</si>
  <si>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</si>
  <si>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</si>
  <si>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</si>
  <si>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</si>
  <si>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</si>
  <si>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</si>
  <si>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</si>
  <si>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</si>
  <si>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</si>
  <si>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</si>
  <si>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</si>
  <si>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</si>
  <si>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 xml:space="preserve"> Socaria mecanizada</t>
  </si>
  <si>
    <t>Manutenção programada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</si>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</sst>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BJ220" activePane="topRight" state="frozen"/>
      <selection pane="topRight" activeCell="D245" sqref="D24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1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1755</v>
      </c>
      <c r="W226" s="173" t="s">
        <v>1756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1757</v>
      </c>
      <c r="BK226" s="16" t="s">
        <v>1757</v>
      </c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1758</v>
      </c>
      <c r="N227" s="204" t="s">
        <v>1759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1760</v>
      </c>
      <c r="W227" s="173" t="s">
        <v>1761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1762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1763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1764</v>
      </c>
      <c r="BK228" s="16" t="s">
        <v>1765</v>
      </c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1764</v>
      </c>
      <c r="BK229" s="16" t="s">
        <v>1766</v>
      </c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1767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1768</v>
      </c>
      <c r="BL230" s="15"/>
      <c r="BM230" s="14"/>
      <c r="BN230" s="14"/>
      <c r="BO230" s="165"/>
      <c r="BP230" s="16"/>
      <c r="BQ230" s="12" t="e">
        <f t="shared" si="22"/>
        <v>#VALUE!</v>
      </c>
      <c r="BR230" s="18" t="e">
        <f t="shared" si="23"/>
        <v>#VALUE!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1769</v>
      </c>
      <c r="N231" s="204" t="s">
        <v>1770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1771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1772</v>
      </c>
      <c r="BK231" s="16" t="s">
        <v>1773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4" si="37">IF(AND(BR231&lt;1,BS231&lt;1),"Produção e Intervalo",IF(BR231&lt;1,"Intervalo",IF(BS231&lt;1,"Produção","Aderente")))</f>
        <v>Intervalo</v>
      </c>
      <c r="BR231" s="18">
        <f t="shared" ref="BR231:BR294" si="38">IF(OR(B231="",F231=""),"*",AY231/P231)</f>
        <v>0.99999999999999911</v>
      </c>
      <c r="BS231" s="18">
        <f t="shared" ref="BS231:BS294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1774</v>
      </c>
      <c r="N232" s="204" t="s">
        <v>1775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1776</v>
      </c>
      <c r="W232" s="173" t="s">
        <v>1761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1777</v>
      </c>
      <c r="BK232" s="16" t="s">
        <v>1778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1779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1755</v>
      </c>
      <c r="W233" s="173" t="s">
        <v>1780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1</v>
      </c>
      <c r="BI233" s="16"/>
      <c r="BJ233" s="16" t="s">
        <v>1781</v>
      </c>
      <c r="BK233" s="16" t="s">
        <v>1782</v>
      </c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1783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1784</v>
      </c>
      <c r="W234" s="173" t="s">
        <v>1785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1</v>
      </c>
      <c r="BI234" s="16"/>
      <c r="BJ234" s="16" t="s">
        <v>1781</v>
      </c>
      <c r="BK234" s="16" t="s">
        <v>1782</v>
      </c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1784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/>
      <c r="BN238" s="14"/>
      <c r="BO238" s="165"/>
      <c r="BP238" s="16"/>
      <c r="BQ238" s="12" t="str">
        <f t="shared" si="37"/>
        <v>Produção</v>
      </c>
      <c r="BR238" s="18">
        <f t="shared" si="38"/>
        <v>1.0000000000000002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>
      <c r="A245" s="50" t="str">
        <f t="shared" si="36"/>
        <v>V8645980</v>
      </c>
      <c r="B245" s="171">
        <v>45980</v>
      </c>
      <c r="C245" s="8">
        <f>IF(BS_CONTROLE[[#This Row],[DATA]]="","",WEEKNUM(BS_CONTROLE[[#This Row],[DATA]]))</f>
        <v>47</v>
      </c>
      <c r="D245" s="51" t="s">
        <v>811</v>
      </c>
      <c r="E245" s="314">
        <v>237</v>
      </c>
      <c r="F245" s="172" t="s">
        <v>713</v>
      </c>
      <c r="G245" s="9" t="str">
        <f>IF(D245="","*",VLOOKUP(F245,BS_ATIVIDADE[#All],3,FALSE))</f>
        <v>MECANIZAÇÃO - SOCADORA</v>
      </c>
      <c r="H245" s="173" t="s">
        <v>429</v>
      </c>
      <c r="I245" s="173" t="s">
        <v>429</v>
      </c>
      <c r="J245" s="217">
        <v>74</v>
      </c>
      <c r="K245" s="217">
        <v>200</v>
      </c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5" s="173">
        <v>0.375</v>
      </c>
      <c r="P245" s="173">
        <v>8.3333333333333329E-2</v>
      </c>
      <c r="Q245" s="83">
        <v>1020</v>
      </c>
      <c r="R245" s="10" t="str">
        <f>IFERROR(_xlfn.XLOOKUP(F245, BS_ATIVIDADE[ATIVIDADE],BS_ATIVIDADE[UNIDADE] ), "*")</f>
        <v>M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BASE_MAPA!$D$2:$D$359, BASE_MAPA!$E$2:$E$359), "ERRO")</f>
        <v>MARCO INICIAL - ALTO ARAGUAIA</v>
      </c>
      <c r="V245" s="198" t="s">
        <v>1712</v>
      </c>
      <c r="W245" s="173" t="s">
        <v>1802</v>
      </c>
      <c r="X245" s="218" t="s">
        <v>957</v>
      </c>
      <c r="Y245" s="158"/>
      <c r="Z245" s="158" t="s">
        <v>965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6236</v>
      </c>
      <c r="AF245" s="83">
        <v>6636</v>
      </c>
      <c r="AG245" s="83" t="s">
        <v>607</v>
      </c>
      <c r="AH245" s="48"/>
      <c r="AI245" s="142" t="str">
        <f>IF(BS_CONTROLE[[#This Row],[Atividade]]=0, "-", BS_CONTROLE[[#This Row],[Atividade]])</f>
        <v>MECANIZAÇÃO - SOCADORA</v>
      </c>
      <c r="AJ245" s="9" t="str">
        <f>IF(D245="","*",VLOOKUP(AI245,BS_ATIVIDADE[#Data],3,FALSE))</f>
        <v>MECANIZAÇÃO - SOCADORA</v>
      </c>
      <c r="AK245" s="278" t="str">
        <f>IF(BS_CONTROLE[[#This Row],[Local - Partida]]=0, "-", BS_CONTROLE[[#This Row],[Local - Partida]])</f>
        <v>TID2</v>
      </c>
      <c r="AL245" s="278" t="str">
        <f>IF(BS_CONTROLE[[#This Row],[Local - Encerramento]]=0, "-", BS_CONTROLE[[#This Row],[Local - Encerramento]])</f>
        <v>TID2</v>
      </c>
      <c r="AM245" s="278" t="str">
        <f>IF(BS_CONTROLE[[#This Row],[Entre - Estações]]=0, "-", BS_CONTROLE[[#This Row],[Entre - Estações]])</f>
        <v>TID-TVI</v>
      </c>
      <c r="AN245" s="278" t="str">
        <f>IF(BS_CONTROLE[[#This Row],[SB]]=0, "-", BS_CONTROLE[[#This Row],[SB]])</f>
        <v>TID201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200</v>
      </c>
      <c r="AQ245" s="280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Saulo</v>
      </c>
      <c r="BG245" s="15"/>
      <c r="BH245" s="16">
        <v>0</v>
      </c>
      <c r="BI245" s="16"/>
      <c r="BJ245" s="16" t="s">
        <v>1803</v>
      </c>
      <c r="BK245" s="16" t="s">
        <v>1803</v>
      </c>
      <c r="BL245" s="15"/>
      <c r="BM245" s="14" t="s">
        <v>973</v>
      </c>
      <c r="BN245" s="14" t="s">
        <v>1004</v>
      </c>
      <c r="BO245" s="165" t="s">
        <v>1093</v>
      </c>
      <c r="BP245" s="16" t="s">
        <v>1803</v>
      </c>
      <c r="BQ245" s="12" t="str">
        <f t="shared" si="37"/>
        <v>Produção e Intervalo</v>
      </c>
      <c r="BR245" s="18">
        <f t="shared" si="38"/>
        <v>0</v>
      </c>
      <c r="BS245" s="18">
        <f t="shared" si="39"/>
        <v>0</v>
      </c>
      <c r="BT245" s="225" t="str">
        <f t="shared" si="40"/>
        <v>MecanizaçãoAtivos</v>
      </c>
    </row>
    <row r="246" spans="1:72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6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40" priority="24995" operator="equal">
      <formula>"OPORTUNIDADE"</formula>
    </cfRule>
  </conditionalFormatting>
  <conditionalFormatting sqref="AZ6:AZ525">
    <cfRule type="expression" dxfId="3439" priority="24990">
      <formula>$BU6=1</formula>
    </cfRule>
  </conditionalFormatting>
  <conditionalFormatting sqref="BQ6:BQ602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5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8:X525">
    <cfRule type="cellIs" dxfId="3428" priority="24930" operator="equal">
      <formula>"OPORTUNIDADE"</formula>
    </cfRule>
  </conditionalFormatting>
  <conditionalFormatting sqref="Z478:Z525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8:Z525">
    <cfRule type="cellIs" dxfId="3425" priority="24927" operator="equal">
      <formula>"OPORTUNIDADE"</formula>
    </cfRule>
  </conditionalFormatting>
  <conditionalFormatting sqref="Y1048556:Y1048576">
    <cfRule type="cellIs" dxfId="3424" priority="24812" operator="equal">
      <formula>"OPORTUNIDADE"</formula>
    </cfRule>
  </conditionalFormatting>
  <conditionalFormatting sqref="Y1048556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6:Z551">
    <cfRule type="cellIs" dxfId="3421" priority="24547" operator="equal">
      <formula>"OPORTUNIDADE"</formula>
    </cfRule>
  </conditionalFormatting>
  <conditionalFormatting sqref="Z526:Z551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2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2">
    <cfRule type="cellIs" dxfId="3416" priority="24532" operator="equal">
      <formula>"OPORTUNIDADE"</formula>
    </cfRule>
  </conditionalFormatting>
  <conditionalFormatting sqref="Z552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2">
    <cfRule type="cellIs" dxfId="3413" priority="24529" operator="equal">
      <formula>"OPORTUNIDADE"</formula>
    </cfRule>
  </conditionalFormatting>
  <conditionalFormatting sqref="BI552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9">
      <formula>$BU495=1</formula>
    </cfRule>
  </conditionalFormatting>
  <conditionalFormatting sqref="AZ528:AZ552">
    <cfRule type="expression" dxfId="3411" priority="25309">
      <formula>$BU500=1</formula>
    </cfRule>
  </conditionalFormatting>
  <conditionalFormatting sqref="BI526:BI551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207:BO602 BO6:BO199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6:BK602 BK232:BK235 BK238:BK244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D1" workbookViewId="0">
      <selection activeCell="I3016" sqref="I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1804</v>
      </c>
      <c r="W1" s="366"/>
      <c r="X1" s="366"/>
      <c r="Y1" s="104"/>
    </row>
    <row r="2" spans="1:25" s="100" customFormat="1" ht="11.25" customHeight="1">
      <c r="A2" s="105" t="s">
        <v>1805</v>
      </c>
      <c r="B2" s="105" t="s">
        <v>1806</v>
      </c>
      <c r="C2" s="105" t="s">
        <v>603</v>
      </c>
      <c r="D2" s="106" t="s">
        <v>1164</v>
      </c>
      <c r="E2" s="106" t="s">
        <v>1165</v>
      </c>
      <c r="F2" s="106" t="s">
        <v>1807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1808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Oportunidade</v>
      </c>
      <c r="C243" s="109" t="str">
        <f>IF(FN_MC!Z245="","*",FN_MC!Z245)</f>
        <v>P5</v>
      </c>
      <c r="D243" s="110" t="str">
        <f>IF(FN_MC!S245="","*",FN_MC!S245)</f>
        <v>FERRONORTE</v>
      </c>
      <c r="E243" s="110" t="str">
        <f>IF(FN_MC!T245="","*",FN_MC!T245)</f>
        <v>TMI-TCS</v>
      </c>
      <c r="F243" s="110">
        <f>IF(FN_MC!B245="","*",FN_MC!B245)</f>
        <v>45980</v>
      </c>
      <c r="G243" s="110" t="str">
        <f>IF(FN_MC!D245="","*",FN_MC!D245)</f>
        <v>V86</v>
      </c>
      <c r="H243" s="110" t="str">
        <f>IF(FN_MC!F245="","*",FN_MC!F245)</f>
        <v>MECANIZAÇÃO - SOCADORA</v>
      </c>
      <c r="I243" s="110" t="str">
        <f>IF(FN_MC!H245="","*",FN_MC!H245)</f>
        <v>TID2</v>
      </c>
      <c r="J243" s="110" t="str">
        <f>IF(FN_MC!I245="","*",FN_MC!I245)</f>
        <v>TID2</v>
      </c>
      <c r="K243" s="110" t="str">
        <f>IF(FN_MC!M245="","*",FN_MC!M245)</f>
        <v>TID-TVI</v>
      </c>
      <c r="L243" s="110" t="str">
        <f>IF(FN_MC!N245="","*",FN_MC!N245)</f>
        <v>TID201</v>
      </c>
      <c r="M243" s="111">
        <f>IF(FN_MC!J245="","*",FN_MC!J245)</f>
        <v>74</v>
      </c>
      <c r="N243" s="290">
        <f>IF(FN_MC!K245="","*",FN_MC!K245)</f>
        <v>200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8.3333333333333329E-2</v>
      </c>
      <c r="S243" s="110" t="str">
        <f>IF(FN_MC!Q245="","*",CONCATENATE(FN_MC!Q245," ",FN_MC!R245))</f>
        <v>1020 M</v>
      </c>
      <c r="T243" s="110" t="str">
        <f>IF(FN_MC!V245="","*",FN_MC!V245)</f>
        <v>Saulo</v>
      </c>
      <c r="U243" s="110" t="str">
        <f>IF(FN_MC!W245="","*",FN_MC!W245)</f>
        <v xml:space="preserve"> Socaria mecanizada</v>
      </c>
      <c r="V243" s="112">
        <f ca="1">_xlfn.XLOOKUP(G243&amp;$V$2,BS_CONTROLE[CHAVE],BS_CONTROLE[Quantidade_11],"-")</f>
        <v>850</v>
      </c>
      <c r="W243" s="112">
        <f ca="1">_xlfn.XLOOKUP(G243&amp;$W$2,BS_CONTROLE[CHAVE],BS_CONTROLE[Quantidade_11],"-")</f>
        <v>217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1809</v>
      </c>
      <c r="D5" s="368"/>
      <c r="E5" s="368"/>
      <c r="F5" s="368"/>
      <c r="G5" s="368"/>
      <c r="H5" s="368"/>
      <c r="I5" s="368"/>
      <c r="J5" s="369"/>
      <c r="K5" s="370" t="s">
        <v>1810</v>
      </c>
      <c r="L5" s="371"/>
      <c r="M5" s="371"/>
      <c r="N5" s="371"/>
      <c r="O5" s="372" t="s">
        <v>1811</v>
      </c>
      <c r="P5" s="373"/>
      <c r="Q5" s="374"/>
    </row>
    <row r="6" spans="1:17" s="93" customFormat="1" ht="15.75" customHeight="1">
      <c r="A6" s="87" t="s">
        <v>1807</v>
      </c>
      <c r="B6" s="94" t="s">
        <v>1806</v>
      </c>
      <c r="C6" s="95" t="s">
        <v>1164</v>
      </c>
      <c r="D6" s="96" t="s">
        <v>1165</v>
      </c>
      <c r="E6" s="95" t="s">
        <v>1812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1813</v>
      </c>
      <c r="M6" s="139" t="s">
        <v>626</v>
      </c>
      <c r="N6" s="140" t="s">
        <v>1159</v>
      </c>
      <c r="O6" s="246" t="s">
        <v>1202</v>
      </c>
      <c r="P6" s="157"/>
      <c r="Q6" s="193" t="s">
        <v>1814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1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1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1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IF(FN_MC!B245="","*",FN_MC!B245)</f>
        <v>45980</v>
      </c>
      <c r="B242" s="98" t="str">
        <f>IF(FN_MC!X245="","*",FN_MC!X245)</f>
        <v>Oportunidade</v>
      </c>
      <c r="C242" s="99" t="str">
        <f>IF(FN_MC!S245="","*",FN_MC!S245)</f>
        <v>FERRONORTE</v>
      </c>
      <c r="D242" s="99" t="str">
        <f>IF(FN_MC!T245="","*",FN_MC!T245)</f>
        <v>TMI-TCS</v>
      </c>
      <c r="E242" s="99" t="str">
        <f>IF(FN_MC!D245="","*",FN_MC!D245)</f>
        <v>V86</v>
      </c>
      <c r="F242" s="99" t="str">
        <f>IF(FN_MC!H245="","*",FN_MC!H245)</f>
        <v>TID2</v>
      </c>
      <c r="G242" s="99" t="str">
        <f>IF(FN_MC!M245="","*",FN_MC!M245)</f>
        <v>TID-TVI</v>
      </c>
      <c r="H242" s="154">
        <f>IF(FN_MC!K245="","*",FN_MC!K245)</f>
        <v>200</v>
      </c>
      <c r="I242" s="132">
        <f>IF(FN_MC!O245="","*",FN_MC!O245)</f>
        <v>0.375</v>
      </c>
      <c r="J242" s="132">
        <f>IF(FN_MC!P245="","*",FN_MC!P245)</f>
        <v>8.3333333333333329E-2</v>
      </c>
      <c r="K242" s="141" t="str">
        <f>IF(FN_MC!AK245="","*",FN_MC!AK245)</f>
        <v>TID2</v>
      </c>
      <c r="L242" s="141" t="str">
        <f>IF(FN_MC!AM245="","*",FN_MC!AM245)</f>
        <v>TID-TVI</v>
      </c>
      <c r="M242" s="141">
        <f>IF(FN_MC!AP245="","*",FN_MC!AP245)</f>
        <v>200</v>
      </c>
      <c r="N242" s="141" t="str">
        <f>IF(FN_MC!AM245="","*",FN_MC!AM245)</f>
        <v>TID-TVI</v>
      </c>
      <c r="O242" s="174">
        <f>FN_MC!BH245</f>
        <v>0</v>
      </c>
      <c r="P242" s="90"/>
      <c r="Q242" s="145" t="str">
        <f>IF($A$2=1,IF(FN_MC!BJ245="","*",FN_MC!BJ245),IF(FN_MC!BK245="","*",FN_MC!BK245))</f>
        <v>Manutenção programada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1815</v>
      </c>
      <c r="C2" s="95" t="s">
        <v>1149</v>
      </c>
      <c r="D2" s="95" t="s">
        <v>1151</v>
      </c>
      <c r="E2" s="95" t="s">
        <v>1816</v>
      </c>
      <c r="F2" s="95" t="s">
        <v>1817</v>
      </c>
      <c r="G2" s="95" t="s">
        <v>1818</v>
      </c>
      <c r="H2" s="95" t="s">
        <v>1819</v>
      </c>
      <c r="I2" s="95" t="s">
        <v>1820</v>
      </c>
      <c r="J2" s="95" t="s">
        <v>1821</v>
      </c>
      <c r="K2" s="131" t="s">
        <v>1822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>
        <f>IF(FN_MC!B245="","*",FN_MC!B245)</f>
        <v>45980</v>
      </c>
      <c r="D225" s="121" t="str">
        <f>IF(FN_MC!D245="","*",FN_MC!D245)</f>
        <v>V86</v>
      </c>
      <c r="E225" s="121" t="str">
        <f>IF(FN_MC!H245="","*",FN_MC!H245)</f>
        <v>TID2</v>
      </c>
      <c r="F225" s="137" t="str">
        <f>IF(FN_MC!M245="","*",FN_MC!M245)</f>
        <v>TID-TVI</v>
      </c>
      <c r="G225" s="121" t="str">
        <f>IF(FN_MC!I245="","*",FN_MC!I245)</f>
        <v>TID2</v>
      </c>
      <c r="H225" s="121" t="str">
        <f>IF(FN_MC!AB245="","*",FN_MC!AB245)</f>
        <v>FIXO</v>
      </c>
      <c r="I225" s="121" t="str">
        <f>IF(FN_MC!AC245="","*",FN_MC!AC245)</f>
        <v>-</v>
      </c>
      <c r="J225" s="122">
        <f>IF(FN_MC!AA245="","*",FN_MC!AA245)</f>
        <v>1</v>
      </c>
      <c r="K225" s="134">
        <f>IF(FN_MC!AD245="","*",FN_MC!AD245)</f>
        <v>0.29166666666666669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2025-11-18T15:47:49Z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