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439" documentId="8_{B6337239-1A00-434D-AAD0-422EA1FEB5AE}" xr6:coauthVersionLast="47" xr6:coauthVersionMax="47" xr10:uidLastSave="{E1FA9B9D-86A7-41EE-BB03-11A92B42C4F1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7" i="1" l="1"/>
  <c r="C107" i="1"/>
  <c r="G107" i="1"/>
  <c r="M107" i="1" a="1"/>
  <c r="M107" i="1"/>
  <c r="N107" i="1" a="1"/>
  <c r="N107" i="1"/>
  <c r="R107" i="1"/>
  <c r="S107" i="1" a="1"/>
  <c r="S107" i="1"/>
  <c r="T107" i="1" a="1"/>
  <c r="T107" i="1"/>
  <c r="U107" i="1"/>
  <c r="AI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/>
  <c r="BF107" i="1"/>
  <c r="BR107" i="1"/>
  <c r="BS107" i="1"/>
  <c r="H110" i="1" a="1"/>
  <c r="H110" i="1" s="1"/>
  <c r="H109" i="1" a="1"/>
  <c r="H109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R99" i="16" s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6" i="16" s="1"/>
  <c r="N778" i="1" a="1"/>
  <c r="N778" i="1" s="1"/>
  <c r="L776" i="16" s="1"/>
  <c r="R778" i="1"/>
  <c r="S778" i="1" a="1"/>
  <c r="S778" i="1" s="1"/>
  <c r="D776" i="16" s="1"/>
  <c r="T778" i="1" a="1"/>
  <c r="T778" i="1" s="1"/>
  <c r="E776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07" i="1" l="1"/>
  <c r="L74" i="16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8" i="1"/>
  <c r="BQ200" i="1"/>
  <c r="BQ197" i="1"/>
  <c r="BQ194" i="1"/>
  <c r="BQ191" i="1"/>
  <c r="BQ188" i="1"/>
  <c r="AJ109" i="1"/>
  <c r="AJ98" i="1"/>
  <c r="AJ110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4" i="1"/>
  <c r="BD91" i="1" a="1"/>
  <c r="BD91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2" i="16"/>
  <c r="U42" i="16"/>
  <c r="U39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7" i="1" a="1"/>
  <c r="BD127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3" i="1" a="1"/>
  <c r="BD583" i="1" s="1"/>
  <c r="BD117" i="1" a="1"/>
  <c r="BD117" i="1" s="1"/>
  <c r="AN97" i="1"/>
  <c r="AN94" i="1"/>
  <c r="BD105" i="1" a="1"/>
  <c r="BD105" i="1" s="1"/>
  <c r="BD96" i="1" a="1"/>
  <c r="BD96" i="1" s="1"/>
  <c r="AN96" i="1"/>
  <c r="AN98" i="1"/>
  <c r="AN100" i="1"/>
  <c r="AN99" i="1"/>
  <c r="BD108" i="1" a="1"/>
  <c r="BD108" i="1" s="1"/>
  <c r="BD121" i="1" a="1"/>
  <c r="BD121" i="1" s="1"/>
  <c r="BD111" i="1" a="1"/>
  <c r="BD111" i="1" s="1"/>
  <c r="AN102" i="1"/>
  <c r="AN105" i="1"/>
  <c r="BD104" i="1" a="1"/>
  <c r="BD104" i="1" s="1"/>
  <c r="AN103" i="1"/>
  <c r="BD101" i="1" a="1"/>
  <c r="BD101" i="1" s="1"/>
  <c r="BD109" i="1" a="1"/>
  <c r="BD109" i="1" s="1"/>
  <c r="AN104" i="1"/>
  <c r="AN101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6" i="1" a="1"/>
  <c r="BD106" i="1" s="1"/>
  <c r="BD135" i="1" a="1"/>
  <c r="BD135" i="1" s="1"/>
  <c r="BD132" i="1" a="1"/>
  <c r="BD132" i="1" s="1"/>
  <c r="BD129" i="1" a="1"/>
  <c r="BD129" i="1" s="1"/>
  <c r="AN116" i="1"/>
  <c r="AN113" i="1"/>
  <c r="AN110" i="1"/>
  <c r="AN106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<sst xmlns="http://schemas.openxmlformats.org/spreadsheetml/2006/main" count="5416" uniqueCount="1526">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</sst>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AO1" activePane="topRight" state="frozen"/>
      <selection pane="topRight" activeCell="AT85" sqref="AT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1444</v>
      </c>
      <c r="BK84" s="14" t="s">
        <v>1445</v>
      </c>
      <c r="BL84" s="13"/>
      <c r="BM84" s="12" t="s">
        <v>1028</v>
      </c>
      <c r="BN84" s="12" t="s">
        <v>1028</v>
      </c>
      <c r="BO84" s="130" t="s">
        <v>1028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1446</v>
      </c>
      <c r="BK85" s="14" t="s">
        <v>1447</v>
      </c>
      <c r="BL85" s="13"/>
      <c r="BM85" s="12" t="s">
        <v>1028</v>
      </c>
      <c r="BN85" s="12" t="s">
        <v>1028</v>
      </c>
      <c r="BO85" s="130" t="s">
        <v>1028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1461</v>
      </c>
      <c r="BK99" s="14" t="s">
        <v>1461</v>
      </c>
      <c r="BL99" s="13"/>
      <c r="BM99" s="12" t="s">
        <v>1028</v>
      </c>
      <c r="BN99" s="12" t="s">
        <v>1028</v>
      </c>
      <c r="BO99" s="130" t="s">
        <v>1028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IF(D105="","*",IFERROR(IF(ISODD(COUNT(AS105:AX108)),"ERRO",SUM((AT105-AS105),(AV105-AU105),(AX105-AW105))),"ERRO"))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t="23.25">
      <c r="A107" s="202" t="str">
        <f>D107&amp;B107</f>
        <v>V6646064</v>
      </c>
      <c r="B107" s="203">
        <v>46064</v>
      </c>
      <c r="C107" s="7">
        <f>IF(BS_CONTROLE[[#This Row],[DATA]]="","",WEEKNUM(BS_CONTROLE[[#This Row],[DATA]]))</f>
        <v>7</v>
      </c>
      <c r="D107" s="45" t="s">
        <v>192</v>
      </c>
      <c r="E107" s="185"/>
      <c r="F107" s="134" t="s">
        <v>235</v>
      </c>
      <c r="G107" s="8" t="str">
        <f>IF(D107="","*",VLOOKUP(F107,BS_ATIVIDADE[#All],3,FALSE))</f>
        <v>MODERNIZAÇÃO</v>
      </c>
      <c r="H107" s="135" t="s">
        <v>450</v>
      </c>
      <c r="I107" s="135" t="s">
        <v>450</v>
      </c>
      <c r="J107" s="151">
        <v>74</v>
      </c>
      <c r="K107" s="151">
        <v>174</v>
      </c>
      <c r="L107" s="71">
        <v>175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7" s="135">
        <v>0.375</v>
      </c>
      <c r="P107" s="135">
        <v>8.3333333333333329E-2</v>
      </c>
      <c r="Q107" s="71">
        <v>500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205" t="s">
        <v>1357</v>
      </c>
      <c r="W107" s="206" t="s">
        <v>1419</v>
      </c>
      <c r="X107" s="152" t="s">
        <v>1008</v>
      </c>
      <c r="Y107" s="129"/>
      <c r="Z107" s="129"/>
      <c r="AA107" s="71">
        <v>1</v>
      </c>
      <c r="AB107" s="59" t="s">
        <v>996</v>
      </c>
      <c r="AC107" s="59"/>
      <c r="AD107" s="135">
        <v>0.29166666666666669</v>
      </c>
      <c r="AE107" s="71">
        <v>6066</v>
      </c>
      <c r="AF107" s="71"/>
      <c r="AG107" s="71"/>
      <c r="AH107" s="42"/>
      <c r="AI107" s="119" t="str">
        <f>IF(BS_CONTROLE[[#This Row],[Atividade]]=0, "-", BS_CONTROLE[[#This Row],[Atividade]])</f>
        <v>MODERNIZAÇÃO - REGULAGEM</v>
      </c>
      <c r="AJ107" s="8" t="str">
        <f>IF(D107="","*",VLOOKUP(AI107,BS_ATIVIDADE[#Data],3,FALSE))</f>
        <v>MODERNIZAÇÃO</v>
      </c>
      <c r="AK107" s="207" t="str">
        <f>IF(BS_CONTROLE[[#This Row],[Local - Partida]]=0, "-", BS_CONTROLE[[#This Row],[Local - Partida]])</f>
        <v>TID2</v>
      </c>
      <c r="AL107" s="207" t="str">
        <f>IF(BS_CONTROLE[[#This Row],[Local - Encerramento]]=0, "-", BS_CONTROLE[[#This Row],[Local - Encerramento]])</f>
        <v>TID2</v>
      </c>
      <c r="AM107" s="207" t="str">
        <f>IF(BS_CONTROLE[[#This Row],[Entre - Estações]]=0, "-", BS_CONTROLE[[#This Row],[Entre - Estações]])</f>
        <v>TCE-TID</v>
      </c>
      <c r="AN107" s="207" t="str">
        <f>IF(BS_CONTROLE[[#This Row],[SB]]=0, "-", BS_CONTROLE[[#This Row],[SB]])</f>
        <v>TCE177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174</v>
      </c>
      <c r="AQ107" s="177">
        <f>IF(BS_CONTROLE[[#This Row],[KM - Fim]]=0, "-", BS_CONTROLE[[#This Row],[KM - Fim]])</f>
        <v>175</v>
      </c>
      <c r="AR107" s="208"/>
      <c r="AS107" s="208"/>
      <c r="AT107" s="208"/>
      <c r="AU107" s="208"/>
      <c r="AV107" s="208"/>
      <c r="AW107" s="208"/>
      <c r="AX107" s="32"/>
      <c r="AY107" s="184">
        <f>IF(D107="","*",IFERROR(IF(ISODD(COUNT(AS107:AX109)),"ERRO",SUM((AT107-AS107),(AV107-AU107),(AX107-AW107))),"ERRO"))</f>
        <v>0</v>
      </c>
      <c r="AZ107" s="11"/>
      <c r="BA107" s="277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209"/>
      <c r="BK107" s="14"/>
      <c r="BL107" s="13"/>
      <c r="BM107" s="12"/>
      <c r="BN107" s="12"/>
      <c r="BO107" s="130"/>
      <c r="BP107" s="14"/>
      <c r="BQ107" s="10" t="str">
        <f>IF(AND(BR107&lt;1,BS107&lt;1),"Produção e Intervalo",IF(BR107&lt;1,"Intervalo",IF(BS107&lt;1,"Produção","Aderente")))</f>
        <v>Produção e Intervalo</v>
      </c>
      <c r="BR107" s="15">
        <f>IF(OR(B107="",F107=""),"*",AY107/P107)</f>
        <v>0</v>
      </c>
      <c r="BS107" s="15">
        <f>IF(OR(B107="",F107=""),"*",BA107/Q107)</f>
        <v>0</v>
      </c>
      <c r="BT107" s="157"/>
    </row>
    <row r="108" spans="1:72">
      <c r="A108" s="44" t="str">
        <f t="shared" si="7"/>
        <v>W5046064</v>
      </c>
      <c r="B108" s="133">
        <v>46064</v>
      </c>
      <c r="C108" s="7">
        <f>IF(BS_CONTROLE[[#This Row],[DATA]]="","",WEEKNUM(BS_CONTROLE[[#This Row],[DATA]]))</f>
        <v>7</v>
      </c>
      <c r="D108" s="45" t="s">
        <v>240</v>
      </c>
      <c r="E108" s="185">
        <v>125</v>
      </c>
      <c r="F108" s="134" t="s">
        <v>140</v>
      </c>
      <c r="G108" s="8" t="str">
        <f>IF(D108="","*",VLOOKUP(F108,BS_ATIVIDADE[#All],3,FALSE))</f>
        <v>MODERNIZAÇÃO</v>
      </c>
      <c r="H108" s="135" t="s">
        <v>1469</v>
      </c>
      <c r="I108" s="135" t="s">
        <v>1469</v>
      </c>
      <c r="J108" s="151">
        <v>74</v>
      </c>
      <c r="K108" s="151">
        <v>250</v>
      </c>
      <c r="L108" s="71">
        <v>239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8" s="149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8" s="135">
        <v>0.375</v>
      </c>
      <c r="P108" s="135">
        <v>8.3333333333333329E-2</v>
      </c>
      <c r="Q108" s="71">
        <v>15</v>
      </c>
      <c r="R108" s="9" t="str">
        <f>IFERROR(_xlfn.XLOOKUP(F108, BS_ATIVIDADE[ATIVIDADE],BS_ATIVIDADE[UNIDADE] ), "*")</f>
        <v>VAGÕES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1357</v>
      </c>
      <c r="W108" s="135" t="s">
        <v>1303</v>
      </c>
      <c r="X108" s="152" t="s">
        <v>1004</v>
      </c>
      <c r="Y108" s="129" t="s">
        <v>1007</v>
      </c>
      <c r="Z108" s="129"/>
      <c r="AA108" s="71" t="s">
        <v>1328</v>
      </c>
      <c r="AB108" s="59" t="s">
        <v>996</v>
      </c>
      <c r="AC108" s="59"/>
      <c r="AD108" s="135">
        <v>0.29166666666666669</v>
      </c>
      <c r="AE108" s="71">
        <v>7671</v>
      </c>
      <c r="AF108" s="71">
        <v>9322</v>
      </c>
      <c r="AG108" s="71" t="s">
        <v>11</v>
      </c>
      <c r="AH108" s="42"/>
      <c r="AI108" s="119" t="str">
        <f>IF(BS_CONTROLE[[#This Row],[Atividade]]=0, "-", BS_CONTROLE[[#This Row],[Atividade]])</f>
        <v>MODERNIZAÇÃO - PEDRA - DESCARGA</v>
      </c>
      <c r="AJ108" s="8" t="str">
        <f>IF(D108="","*",VLOOKUP(AI108,BS_ATIVIDADE[#Data],3,FALSE))</f>
        <v>MODERNIZAÇÃO</v>
      </c>
      <c r="AK108" s="175" t="str">
        <f>IF(BS_CONTROLE[[#This Row],[Local - Partida]]=0, "-", BS_CONTROLE[[#This Row],[Local - Partida]])</f>
        <v xml:space="preserve">TCS2 </v>
      </c>
      <c r="AL108" s="175" t="str">
        <f>IF(BS_CONTROLE[[#This Row],[Local - Encerramento]]=0, "-", BS_CONTROLE[[#This Row],[Local - Encerramento]])</f>
        <v xml:space="preserve">TCS2 </v>
      </c>
      <c r="AM108" s="175" t="str">
        <f>IF(BS_CONTROLE[[#This Row],[Entre - Estações]]=0, "-", BS_CONTROLE[[#This Row],[Entre - Estações]])</f>
        <v>TVI-TJA</v>
      </c>
      <c r="AN108" s="175">
        <f>IF(BS_CONTROLE[[#This Row],[SB]]=0, "-", BS_CONTROLE[[#This Row],[SB]])</f>
        <v>239251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250</v>
      </c>
      <c r="AQ108" s="177">
        <f>IF(BS_CONTROLE[[#This Row],[KM - Fim]]=0, "-", BS_CONTROLE[[#This Row],[KM - Fim]])</f>
        <v>239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VAGÕES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MARCOS (TF-520)46064</v>
      </c>
      <c r="B109" s="133">
        <v>46064</v>
      </c>
      <c r="C109" s="7">
        <f>IF(BS_CONTROLE[[#This Row],[DATA]]="","",WEEKNUM(BS_CONTROLE[[#This Row],[DATA]]))</f>
        <v>7</v>
      </c>
      <c r="D109" s="45" t="s">
        <v>334</v>
      </c>
      <c r="E109" s="185">
        <v>126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1324</v>
      </c>
      <c r="W109" s="135" t="s">
        <v>1470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Marcos Euzebio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>
      <c r="A110" s="44" t="str">
        <f t="shared" si="7"/>
        <v>ANISIO (TF-514)46064</v>
      </c>
      <c r="B110" s="133">
        <v>46064</v>
      </c>
      <c r="C110" s="7">
        <f>IF(BS_CONTROLE[[#This Row],[DATA]]="","",WEEKNUM(BS_CONTROLE[[#This Row],[DATA]]))</f>
        <v>7</v>
      </c>
      <c r="D110" s="45" t="s">
        <v>273</v>
      </c>
      <c r="E110" s="185">
        <v>127</v>
      </c>
      <c r="F110" s="134" t="s">
        <v>200</v>
      </c>
      <c r="G110" s="8" t="str">
        <f>IF(D110="","*",VLOOKUP(F110,BS_ATIVIDADE[#All],3,FALSE))</f>
        <v>TRILHO - SUBSTITUIÇÂO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312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1439</v>
      </c>
      <c r="W110" s="135" t="s">
        <v>1471</v>
      </c>
      <c r="X110" s="152" t="s">
        <v>1004</v>
      </c>
      <c r="Y110" s="129" t="s">
        <v>1007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SUBSTITUIÇÃO - TRILHO</v>
      </c>
      <c r="AJ110" s="8" t="str">
        <f>IF(D110="","*",VLOOKUP(AI110,BS_ATIVIDADE[#Data],3,FALSE))</f>
        <v>TRILHO - SUBSTITUIÇÂO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Anisio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97" operator="equal">
      <formula>"ERRO"</formula>
    </cfRule>
  </conditionalFormatting>
  <conditionalFormatting sqref="X4 Y1:Z5 Y8:Z778">
    <cfRule type="cellIs" dxfId="123" priority="18486" operator="equal">
      <formula>"OPORTUNIDADE"</formula>
    </cfRule>
  </conditionalFormatting>
  <conditionalFormatting sqref="AZ6:AZ778">
    <cfRule type="expression" dxfId="122" priority="18481">
      <formula>$BU6=1</formula>
    </cfRule>
  </conditionalFormatting>
  <conditionalFormatting sqref="BQ6:BQ778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8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8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1:Y1048576">
    <cfRule type="cellIs" dxfId="111" priority="18303" operator="equal">
      <formula>"OPORTUNIDADE"</formula>
    </cfRule>
  </conditionalFormatting>
  <conditionalFormatting sqref="Y1047841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8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8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8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AI6:AI778 F6:F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IF(FN_MC!Y108="","*",FN_MC!Y108)</f>
        <v>OPORTUNIDADE</v>
      </c>
      <c r="C127" s="101">
        <f>IF(FN_MC!B108="","*",FN_MC!B108)</f>
        <v>46064</v>
      </c>
      <c r="D127" s="101" t="str">
        <f>IF(FN_MC!D108="","*",FN_MC!D108)</f>
        <v>W50</v>
      </c>
      <c r="E127" s="101" t="str">
        <f>IF(FN_MC!H108="","*",FN_MC!H108)</f>
        <v xml:space="preserve">TCS2 </v>
      </c>
      <c r="F127" s="114" t="str">
        <f>IF(FN_MC!M108="","*",FN_MC!M108)</f>
        <v>TVI-TJA</v>
      </c>
      <c r="G127" s="101" t="str">
        <f>IF(FN_MC!I108="","*",FN_MC!I108)</f>
        <v xml:space="preserve">TCS2 </v>
      </c>
      <c r="H127" s="101" t="str">
        <f>IF(FN_MC!AB108="","*",FN_MC!AB108)</f>
        <v>FIXO</v>
      </c>
      <c r="I127" s="101" t="str">
        <f>IF(FN_MC!AC108="","*",FN_MC!AC108)</f>
        <v>*</v>
      </c>
      <c r="J127" s="102" t="str">
        <f>IF(FN_MC!AA108="","*",FN_MC!AA108)</f>
        <v>2 Maicon + Eder</v>
      </c>
      <c r="K127" s="112">
        <f>IF(FN_MC!AD108="","*",FN_MC!AD108)</f>
        <v>0.29166666666666669</v>
      </c>
    </row>
    <row r="128" spans="2:11" hidden="1">
      <c r="B128" s="100" t="str">
        <f>IF(FN_MC!Y109="","*",FN_MC!Y109)</f>
        <v>OPORTUNIDADE</v>
      </c>
      <c r="C128" s="101">
        <f>IF(FN_MC!B109="","*",FN_MC!B109)</f>
        <v>46064</v>
      </c>
      <c r="D128" s="101" t="str">
        <f>IF(FN_MC!D109="","*",FN_MC!D109)</f>
        <v>MARCOS (TF-520)</v>
      </c>
      <c r="E128" s="101" t="str">
        <f>IF(FN_MC!H109="","*",FN_MC!H109)</f>
        <v>TAPK35</v>
      </c>
      <c r="F128" s="114" t="str">
        <f>IF(FN_MC!M109="","*",FN_MC!M109)</f>
        <v>TAP-TLG</v>
      </c>
      <c r="G128" s="101" t="str">
        <f>IF(FN_MC!I109="","*",FN_MC!I109)</f>
        <v>-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-</v>
      </c>
    </row>
    <row r="129" spans="2:11" hidden="1">
      <c r="B129" s="100" t="str">
        <f>IF(FN_MC!Y110="","*",FN_MC!Y110)</f>
        <v>OPORTUNIDADE</v>
      </c>
      <c r="C129" s="101">
        <f>IF(FN_MC!B110="","*",FN_MC!B110)</f>
        <v>46064</v>
      </c>
      <c r="D129" s="101" t="str">
        <f>IF(FN_MC!D110="","*",FN_MC!D110)</f>
        <v>ANISIO (TF-514)</v>
      </c>
      <c r="E129" s="101" t="str">
        <f>IF(FN_MC!H110="","*",FN_MC!H110)</f>
        <v>TAPK35</v>
      </c>
      <c r="F129" s="114" t="str">
        <f>IF(FN_MC!M110="","*",FN_MC!M110)</f>
        <v>TAP-TLG</v>
      </c>
      <c r="G129" s="101" t="str">
        <f>IF(FN_MC!I110="","*",FN_MC!I110)</f>
        <v>-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-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J1" workbookViewId="0">
      <selection activeCell="A2" sqref="A2:T10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46063</v>
      </c>
      <c r="V3" s="90">
        <f ca="1">U3-1</f>
        <v>46062</v>
      </c>
      <c r="W3" s="90">
        <f ca="1">V3-1</f>
        <v>46061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4512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0</v>
      </c>
      <c r="W10" s="98" t="str">
        <f ca="1">_xlfn.XLOOKUP(G10&amp;$W$3,BS_CONTROLE[CHAVE],BS_CONTROLE[Quantidade_11],"-")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936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2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4512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0</v>
      </c>
      <c r="W18" s="98" t="str">
        <f ca="1">_xlfn.XLOOKUP(G18&amp;$W$3,BS_CONTROLE[CHAVE],BS_CONTROLE[Quantidade_11],"-")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936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4512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0</v>
      </c>
      <c r="W30" s="98" t="str">
        <f ca="1">_xlfn.XLOOKUP(G30&amp;$W$3,BS_CONTROLE[CHAVE],BS_CONTROLE[Quantidade_11],"-")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936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100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4512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0</v>
      </c>
      <c r="W42" s="98" t="str">
        <f ca="1">_xlfn.XLOOKUP(G42&amp;$W$3,BS_CONTROLE[CHAVE],BS_CONTROLE[Quantidade_11],"-")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936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100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4512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0</v>
      </c>
      <c r="W55" s="98" t="str">
        <f ca="1">_xlfn.XLOOKUP(G55&amp;$W$3,BS_CONTROLE[CHAVE],BS_CONTROLE[Quantidade_11],"-")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100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936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4512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0</v>
      </c>
      <c r="W64" s="98" t="str">
        <f ca="1">_xlfn.XLOOKUP(G64&amp;$W$3,BS_CONTROLE[CHAVE],BS_CONTROLE[Quantidade_11],"-")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4512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4512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0</v>
      </c>
      <c r="W73" s="98" t="str">
        <f ca="1">_xlfn.XLOOKUP(G73&amp;$W$3,BS_CONTROLE[CHAVE],BS_CONTROLE[Quantidade_11],"-")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100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1000</v>
      </c>
      <c r="V79" s="98">
        <f ca="1">_xlfn.XLOOKUP(G79&amp;$V$3,BS_CONTROLE[CHAVE],BS_CONTROLE[Quantidade_11],"-")</f>
        <v>0</v>
      </c>
      <c r="W79" s="98">
        <f ca="1">_xlfn.XLOOKUP(G79&amp;$W$3,BS_CONTROLE[CHAVE],BS_CONTROLE[Quantidade_11],"-")</f>
        <v>1000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4512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27</v>
      </c>
      <c r="V84" s="98">
        <f ca="1">_xlfn.XLOOKUP(G84&amp;$V$3,BS_CONTROLE[CHAVE],BS_CONTROLE[Quantidade_11],"-")</f>
        <v>0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>
        <f ca="1">_xlfn.XLOOKUP(G87&amp;$V$3,BS_CONTROLE[CHAVE],BS_CONTROLE[Quantidade_11],"-")</f>
        <v>0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4</v>
      </c>
      <c r="V91" s="98">
        <f ca="1">_xlfn.XLOOKUP(G91&amp;$V$3,BS_CONTROLE[CHAVE],BS_CONTROLE[Quantidade_11],"-")</f>
        <v>0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1000</v>
      </c>
      <c r="V93" s="98">
        <f ca="1">_xlfn.XLOOKUP(G93&amp;$V$3,BS_CONTROLE[CHAVE],BS_CONTROLE[Quantidade_11],"-")</f>
        <v>0</v>
      </c>
      <c r="W93" s="98">
        <f ca="1">_xlfn.XLOOKUP(G93&amp;$W$3,BS_CONTROLE[CHAVE],BS_CONTROLE[Quantidade_11],"-")</f>
        <v>1000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>
        <f ca="1">_xlfn.XLOOKUP(G96&amp;$U$3,BS_CONTROLE[CHAVE],BS_CONTROLE[Quantidade_11],"-")</f>
        <v>936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100</v>
      </c>
      <c r="V97" s="98">
        <f ca="1">_xlfn.XLOOKUP(G97&amp;$V$3,BS_CONTROLE[CHAVE],BS_CONTROLE[Quantidade_11],"-")</f>
        <v>180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>
        <f ca="1">_xlfn.XLOOKUP(G98&amp;$U$3,BS_CONTROLE[CHAVE],BS_CONTROLE[Quantidade_11],"-")</f>
        <v>2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>
        <f ca="1">_xlfn.XLOOKUP(G99&amp;$U$3,BS_CONTROLE[CHAVE],BS_CONTROLE[Quantidade_11],"-")</f>
        <v>13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4512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0</v>
      </c>
      <c r="W102" s="98" t="str">
        <f ca="1">_xlfn.XLOOKUP(G102&amp;$W$3,BS_CONTROLE[CHAVE],BS_CONTROLE[Quantidade_11],"-")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100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OPORTUNIDADE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W50</v>
      </c>
      <c r="H106" s="96" t="str">
        <f>IF(FN_MC!F108="","*",FN_MC!F108)</f>
        <v>MODERNIZAÇÃO - PEDRA - DESCARGA</v>
      </c>
      <c r="I106" s="96" t="str">
        <f>IF(FN_MC!H108="","*",FN_MC!H108)</f>
        <v xml:space="preserve">TCS2 </v>
      </c>
      <c r="J106" s="96" t="str">
        <f>IF(FN_MC!I108="","*",FN_MC!I108)</f>
        <v xml:space="preserve">TCS2 </v>
      </c>
      <c r="K106" s="96" t="str">
        <f>IF(FN_MC!M108="","*",FN_MC!M108)</f>
        <v>TVI-TJA</v>
      </c>
      <c r="L106" s="196">
        <f>IF(FN_MC!N108="","*",FN_MC!N108)</f>
        <v>239251</v>
      </c>
      <c r="M106" s="97">
        <f>IF(FN_MC!J108="","*",FN_MC!J108)</f>
        <v>74</v>
      </c>
      <c r="N106" s="183">
        <f>IF(FN_MC!K108="","*",FN_MC!K108)</f>
        <v>250</v>
      </c>
      <c r="O106" s="183">
        <f>IF(FN_MC!L108="","*",FN_MC!L108)</f>
        <v>239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15 VAGÕES</v>
      </c>
      <c r="S106" s="96" t="str">
        <f>IF(FN_MC!V108="","*",FN_MC!V108)</f>
        <v>Augusto/ Efraim</v>
      </c>
      <c r="T106" s="96" t="str">
        <f>IF(FN_MC!W108="","*",FN_MC!W108)</f>
        <v xml:space="preserve">Descarga de pedra </v>
      </c>
      <c r="U106" s="98">
        <f ca="1">_xlfn.XLOOKUP(G106&amp;$U$3,BS_CONTROLE[CHAVE],BS_CONTROLE[Quantidade_11],"-")</f>
        <v>4</v>
      </c>
      <c r="V106" s="98">
        <f ca="1">_xlfn.XLOOKUP(G106&amp;$V$3,BS_CONTROLE[CHAVE],BS_CONTROLE[Quantidade_11],"-")</f>
        <v>0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MARCOS (TF-520)</v>
      </c>
      <c r="H107" s="96" t="str">
        <f>IF(FN_MC!F109="","*",FN_MC!F109)</f>
        <v>PDM - SOLDA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2 Nº DE SOLDA</v>
      </c>
      <c r="S107" s="96" t="str">
        <f>IF(FN_MC!V109="","*",FN_MC!V109)</f>
        <v>Marcos Euzebio</v>
      </c>
      <c r="T107" s="96" t="str">
        <f>IF(FN_MC!W109="","*",FN_MC!W109)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ANISIO (TF-514)</v>
      </c>
      <c r="H108" s="96" t="str">
        <f>IF(FN_MC!F110="","*",FN_MC!F110)</f>
        <v>PDM - SUBSTITUIÇÃO - TRILHO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312 M</v>
      </c>
      <c r="S108" s="96" t="str">
        <f>IF(FN_MC!V110="","*",FN_MC!V110)</f>
        <v>Anisio</v>
      </c>
      <c r="T108" s="96" t="str">
        <f>IF(FN_MC!W110="","*",FN_MC!W110)</f>
        <v>Substituição de trilho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-</v>
      </c>
      <c r="E776" s="96" t="str">
        <f>IF(FN_MC!T778="","*",FN_MC!T778)</f>
        <v>-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-</v>
      </c>
      <c r="L776" s="196" t="str">
        <f>IF(FN_MC!N778="","*",FN_MC!N778)</f>
        <v>-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-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96" t="str">
        <f>IF(FN_MC!N903="","*",FN_MC!N903)</f>
        <v>*</v>
      </c>
      <c r="M901" s="97" t="str">
        <f>IF(FN_MC!J903="","*",FN_MC!J903)</f>
        <v>*</v>
      </c>
      <c r="N901" s="183" t="str">
        <f>IF(FN_MC!K903="","*",FN_MC!K903)</f>
        <v>*</v>
      </c>
      <c r="O901" s="18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IF(FN_MC!B108="","*",FN_MC!B108)</f>
        <v>46064</v>
      </c>
      <c r="B131" s="86" t="str">
        <f>IF(FN_MC!X108="","*",FN_MC!X108)</f>
        <v>Oportunidade</v>
      </c>
      <c r="C131" s="87" t="str">
        <f>IF(FN_MC!S108="","*",FN_MC!S108)</f>
        <v>FERRONORTE</v>
      </c>
      <c r="D131" s="87" t="str">
        <f>IF(FN_MC!T108="","*",FN_MC!T108)</f>
        <v>TMI-TCS</v>
      </c>
      <c r="E131" s="87" t="str">
        <f>IF(FN_MC!D108="","*",FN_MC!D108)</f>
        <v>W50</v>
      </c>
      <c r="F131" s="87" t="str">
        <f>IF(FN_MC!H108="","*",FN_MC!H108)</f>
        <v xml:space="preserve">TCS2 </v>
      </c>
      <c r="G131" s="87" t="str">
        <f>IF(FN_MC!M108="","*",FN_MC!M108)</f>
        <v>TVI-TJA</v>
      </c>
      <c r="H131" s="125">
        <f>IF(FN_MC!K108="","*",FN_MC!K108)</f>
        <v>250</v>
      </c>
      <c r="I131" s="110">
        <f>IF(FN_MC!O108="","*",FN_MC!O108)</f>
        <v>0.375</v>
      </c>
      <c r="J131" s="110">
        <f>IF(FN_MC!P108="","*",FN_MC!P108)</f>
        <v>8.3333333333333329E-2</v>
      </c>
      <c r="K131" s="118" t="str">
        <f>IF(FN_MC!AK108="","*",FN_MC!AK108)</f>
        <v xml:space="preserve">TCS2 </v>
      </c>
      <c r="L131" s="118" t="str">
        <f>IF(FN_MC!AM108="","*",FN_MC!AM108)</f>
        <v>TVI-TJA</v>
      </c>
      <c r="M131" s="118">
        <f>IF(FN_MC!AP108="","*",FN_MC!AP108)</f>
        <v>250</v>
      </c>
      <c r="N131" s="118" t="str">
        <f>IF(FN_MC!AM108="","*",FN_MC!AM108)</f>
        <v>TVI-TJA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>
        <f>IF(FN_MC!B109="","*",FN_MC!B109)</f>
        <v>46064</v>
      </c>
      <c r="B132" s="86" t="str">
        <f>IF(FN_MC!X109="","*",FN_MC!X109)</f>
        <v>Oportunidade</v>
      </c>
      <c r="C132" s="87" t="str">
        <f>IF(FN_MC!S109="","*",FN_MC!S109)</f>
        <v>FERRONORTE</v>
      </c>
      <c r="D132" s="87" t="str">
        <f>IF(FN_MC!T109="","*",FN_MC!T109)</f>
        <v>TMI-TCS</v>
      </c>
      <c r="E132" s="87" t="str">
        <f>IF(FN_MC!D109="","*",FN_MC!D109)</f>
        <v>MARCOS (TF-520)</v>
      </c>
      <c r="F132" s="87" t="str">
        <f>IF(FN_MC!H109="","*",FN_MC!H109)</f>
        <v>TAPK35</v>
      </c>
      <c r="G132" s="87" t="str">
        <f>IF(FN_MC!M109="","*",FN_MC!M109)</f>
        <v>TAP-TLG</v>
      </c>
      <c r="H132" s="125">
        <f>IF(FN_MC!K109="","*",FN_MC!K109)</f>
        <v>27.555</v>
      </c>
      <c r="I132" s="110">
        <f>IF(FN_MC!O109="","*",FN_MC!O109)</f>
        <v>0.375</v>
      </c>
      <c r="J132" s="110">
        <f>IF(FN_MC!P109="","*",FN_MC!P109)</f>
        <v>8.3333333333333329E-2</v>
      </c>
      <c r="K132" s="118" t="str">
        <f>IF(FN_MC!AK109="","*",FN_MC!AK109)</f>
        <v>TAPK35</v>
      </c>
      <c r="L132" s="118" t="str">
        <f>IF(FN_MC!AM109="","*",FN_MC!AM109)</f>
        <v>TAP-TLG</v>
      </c>
      <c r="M132" s="118">
        <f>IF(FN_MC!AP109="","*",FN_MC!AP109)</f>
        <v>27.555</v>
      </c>
      <c r="N132" s="118" t="str">
        <f>IF(FN_MC!AM109="","*",FN_MC!AM109)</f>
        <v>TAP-TLG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>
        <f>IF(FN_MC!B110="","*",FN_MC!B110)</f>
        <v>46064</v>
      </c>
      <c r="B133" s="86" t="str">
        <f>IF(FN_MC!X110="","*",FN_MC!X110)</f>
        <v>Oportunidade</v>
      </c>
      <c r="C133" s="87" t="str">
        <f>IF(FN_MC!S110="","*",FN_MC!S110)</f>
        <v>FERRONORTE</v>
      </c>
      <c r="D133" s="87" t="str">
        <f>IF(FN_MC!T110="","*",FN_MC!T110)</f>
        <v>TMI-TCS</v>
      </c>
      <c r="E133" s="87" t="str">
        <f>IF(FN_MC!D110="","*",FN_MC!D110)</f>
        <v>ANISIO (TF-514)</v>
      </c>
      <c r="F133" s="87" t="str">
        <f>IF(FN_MC!H110="","*",FN_MC!H110)</f>
        <v>TAPK35</v>
      </c>
      <c r="G133" s="87" t="str">
        <f>IF(FN_MC!M110="","*",FN_MC!M110)</f>
        <v>TAP-TLG</v>
      </c>
      <c r="H133" s="125">
        <f>IF(FN_MC!K110="","*",FN_MC!K110)</f>
        <v>27.555</v>
      </c>
      <c r="I133" s="110">
        <f>IF(FN_MC!O110="","*",FN_MC!O110)</f>
        <v>0.375</v>
      </c>
      <c r="J133" s="110">
        <f>IF(FN_MC!P110="","*",FN_MC!P110)</f>
        <v>8.3333333333333329E-2</v>
      </c>
      <c r="K133" s="118" t="str">
        <f>IF(FN_MC!AK110="","*",FN_MC!AK110)</f>
        <v>TAPK35</v>
      </c>
      <c r="L133" s="118" t="str">
        <f>IF(FN_MC!AM110="","*",FN_MC!AM110)</f>
        <v>TAP-TLG</v>
      </c>
      <c r="M133" s="118">
        <f>IF(FN_MC!AP110="","*",FN_MC!AP110)</f>
        <v>27.555</v>
      </c>
      <c r="N133" s="118" t="str">
        <f>IF(FN_MC!AM110="","*",FN_MC!AM110)</f>
        <v>TAP-TLG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2026-02-11T10:20:18Z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