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25" documentId="120_S{118792C3-22EF-5104-A093-F22BFE3913F3}" xr6:coauthVersionLast="47" xr6:coauthVersionMax="47" xr10:uidLastSave="{3870297E-912E-424A-96DC-CD22FF5734B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/>
  <c r="M230" i="1" a="1"/>
  <c r="M230" i="1"/>
  <c r="N229" i="1" a="1"/>
  <c r="N229" i="1"/>
  <c r="M229" i="1" a="1"/>
  <c r="M229" i="1"/>
  <c r="M228" i="1" a="1"/>
  <c r="M228" i="1"/>
  <c r="M227" i="1" a="1"/>
  <c r="M227" i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K224" i="1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L228" i="11"/>
  <c r="R231" i="1"/>
  <c r="R228" i="11" s="1"/>
  <c r="BB231" i="1"/>
  <c r="AK231" i="1"/>
  <c r="K229" i="10" s="1"/>
  <c r="AL231" i="1"/>
  <c r="AP231" i="1"/>
  <c r="M229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0" i="10" s="1"/>
  <c r="AL232" i="1"/>
  <c r="AP232" i="1"/>
  <c r="M230" i="10" s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R231" i="11" s="1"/>
  <c r="BB234" i="1"/>
  <c r="AK234" i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R233" i="11" s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R234" i="11" s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R235" i="11" s="1"/>
  <c r="BB238" i="1"/>
  <c r="AK238" i="1"/>
  <c r="AL238" i="1"/>
  <c r="AP238" i="1"/>
  <c r="BR238" i="1"/>
  <c r="BS238" i="1"/>
  <c r="A239" i="1"/>
  <c r="C239" i="1"/>
  <c r="G239" i="1"/>
  <c r="K234" i="11"/>
  <c r="L234" i="11"/>
  <c r="R239" i="1"/>
  <c r="R236" i="11" s="1"/>
  <c r="BB239" i="1"/>
  <c r="AK239" i="1"/>
  <c r="AL239" i="1"/>
  <c r="AP239" i="1"/>
  <c r="BR239" i="1"/>
  <c r="BS239" i="1"/>
  <c r="A240" i="1"/>
  <c r="C240" i="1"/>
  <c r="G240" i="1"/>
  <c r="K235" i="11"/>
  <c r="L235" i="11"/>
  <c r="R240" i="1"/>
  <c r="R237" i="11" s="1"/>
  <c r="BB240" i="1"/>
  <c r="AK240" i="1"/>
  <c r="AL240" i="1"/>
  <c r="AP240" i="1"/>
  <c r="M238" i="10" s="1"/>
  <c r="BR240" i="1"/>
  <c r="BS240" i="1"/>
  <c r="A241" i="1"/>
  <c r="C241" i="1"/>
  <c r="G241" i="1"/>
  <c r="L236" i="1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L239" i="11"/>
  <c r="R244" i="1"/>
  <c r="R241" i="11" s="1"/>
  <c r="BB244" i="1"/>
  <c r="AK244" i="1"/>
  <c r="AL244" i="1"/>
  <c r="AP244" i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6" i="10" s="1"/>
  <c r="AL248" i="1"/>
  <c r="AP248" i="1"/>
  <c r="M246" i="10" s="1"/>
  <c r="BR248" i="1"/>
  <c r="BS248" i="1"/>
  <c r="A249" i="1"/>
  <c r="C249" i="1"/>
  <c r="G249" i="1"/>
  <c r="K244" i="11"/>
  <c r="R249" i="1"/>
  <c r="R246" i="11" s="1"/>
  <c r="BB249" i="1"/>
  <c r="AK249" i="1"/>
  <c r="K247" i="10" s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R269" i="1"/>
  <c r="BB269" i="1"/>
  <c r="AK269" i="1"/>
  <c r="K267" i="10" s="1"/>
  <c r="AL269" i="1"/>
  <c r="AP269" i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M293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4" i="10" s="1"/>
  <c r="AL296" i="1"/>
  <c r="AP296" i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K696" i="10" s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AK550" i="1"/>
  <c r="AL550" i="1"/>
  <c r="AP550" i="1"/>
  <c r="AK551" i="1"/>
  <c r="AL551" i="1"/>
  <c r="AP551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35" i="11" l="1"/>
  <c r="M596" i="10"/>
  <c r="M436" i="10"/>
  <c r="M590" i="10"/>
  <c r="K395" i="10"/>
  <c r="K307" i="10"/>
  <c r="L672" i="11"/>
  <c r="L667" i="11"/>
  <c r="L641" i="11"/>
  <c r="L693" i="11"/>
  <c r="L656" i="11"/>
  <c r="L651" i="11"/>
  <c r="L646" i="11"/>
  <c r="M696" i="10"/>
  <c r="K475" i="10"/>
  <c r="K440" i="11"/>
  <c r="K353" i="11"/>
  <c r="R3" i="11"/>
  <c r="K268" i="11"/>
  <c r="K256" i="11"/>
  <c r="M432" i="10"/>
  <c r="M245" i="10"/>
  <c r="K248" i="10"/>
  <c r="M247" i="10"/>
  <c r="K245" i="10"/>
  <c r="K254" i="10"/>
  <c r="K413" i="10"/>
  <c r="L727" i="11"/>
  <c r="M541" i="10"/>
  <c r="L692" i="11"/>
  <c r="K518" i="11"/>
  <c r="M475" i="10"/>
  <c r="M244" i="10"/>
  <c r="L262" i="11"/>
  <c r="K244" i="10"/>
  <c r="K527" i="10"/>
  <c r="K414" i="10"/>
  <c r="K242" i="10"/>
  <c r="M243" i="10"/>
  <c r="M242" i="10"/>
  <c r="L728" i="11"/>
  <c r="L708" i="11"/>
  <c r="K503" i="10"/>
  <c r="K451" i="10"/>
  <c r="M241" i="10"/>
  <c r="K448" i="10"/>
  <c r="K471" i="10"/>
  <c r="K293" i="10"/>
  <c r="K509" i="10"/>
  <c r="K363" i="10"/>
  <c r="K400" i="10"/>
  <c r="L725" i="11"/>
  <c r="L720" i="11"/>
  <c r="K298" i="10"/>
  <c r="K228" i="11"/>
  <c r="K427" i="11"/>
  <c r="K364" i="11"/>
  <c r="K355" i="11"/>
  <c r="K393" i="10"/>
  <c r="R193" i="11"/>
  <c r="K232" i="10"/>
  <c r="K231" i="10"/>
  <c r="M231" i="10"/>
  <c r="M248" i="10"/>
  <c r="M239" i="10"/>
  <c r="M298" i="10"/>
  <c r="K240" i="10"/>
  <c r="K239" i="10"/>
  <c r="M417" i="10"/>
  <c r="K291" i="11"/>
  <c r="K257" i="11"/>
  <c r="K243" i="11"/>
  <c r="K239" i="11"/>
  <c r="K273" i="10"/>
  <c r="M419" i="10"/>
  <c r="M644" i="10"/>
  <c r="R195" i="11"/>
  <c r="K460" i="10"/>
  <c r="M671" i="10"/>
  <c r="M267" i="10"/>
  <c r="L722" i="11"/>
  <c r="L675" i="11"/>
  <c r="L662" i="11"/>
  <c r="L657" i="11"/>
  <c r="L683" i="11"/>
  <c r="K462" i="10"/>
  <c r="K442" i="11"/>
  <c r="M437" i="10"/>
  <c r="R208" i="11"/>
  <c r="R211" i="11"/>
  <c r="R201" i="11"/>
  <c r="R194" i="11"/>
  <c r="M594" i="10"/>
  <c r="L264" i="11"/>
  <c r="L242" i="11"/>
  <c r="K365" i="10"/>
  <c r="M601" i="10"/>
  <c r="K504" i="10"/>
  <c r="K225" i="10"/>
  <c r="K226" i="10"/>
  <c r="K228" i="10"/>
  <c r="K227" i="10"/>
  <c r="M226" i="10"/>
  <c r="K223" i="11"/>
  <c r="M225" i="10"/>
  <c r="M228" i="10"/>
  <c r="M227" i="10"/>
  <c r="M547" i="10"/>
  <c r="K377" i="10"/>
  <c r="K435" i="10"/>
  <c r="M355" i="10"/>
  <c r="K459" i="11"/>
  <c r="M552" i="10"/>
  <c r="K355" i="10"/>
  <c r="K371" i="10"/>
  <c r="K331" i="11"/>
  <c r="K468" i="10"/>
  <c r="M480" i="10"/>
  <c r="K324" i="10"/>
  <c r="K236" i="11"/>
  <c r="M553" i="10"/>
  <c r="M550" i="10"/>
  <c r="M431" i="10"/>
  <c r="M294" i="10"/>
  <c r="M360" i="10"/>
  <c r="K515" i="10"/>
  <c r="K354" i="11"/>
  <c r="K463" i="10"/>
  <c r="K489" i="11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<sst xmlns="http://schemas.openxmlformats.org/spreadsheetml/2006/main" count="9705" uniqueCount="1628">
  <si>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</si>
  <si>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</si>
  <si>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</si>
  <si>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</si>
  <si>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</si>
  <si>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</si>
  <si>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</si>
  <si>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</si>
  <si>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</si>
  <si>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</si>
  <si>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</si>
  <si>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</si>
  <si>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</si>
  <si>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</si>
  <si>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</si>
  <si>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</si>
  <si>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</si>
  <si>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</si>
  <si>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</si>
  <si>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</si>
  <si>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</si>
  <si>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</si>
  <si>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</si>
  <si>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</si>
  <si>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</si>
  <si>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</si>
  <si>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</si>
  <si>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</si>
  <si>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</si>
  <si>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</si>
  <si>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</si>
  <si>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</si>
  <si>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</si>
  <si>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</si>
  <si>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</si>
  <si>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</si>
  <si>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</si>
  <si>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</si>
  <si>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</si>
  <si>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</si>
  <si>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</si>
  <si>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</si>
  <si>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</si>
  <si>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</si>
  <si>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</si>
  <si>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</si>
  <si>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</si>
  <si>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</si>
  <si>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</si>
  <si>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</si>
  <si>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</si>
  <si>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</si>
  <si>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</si>
  <si>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</si>
  <si>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</si>
  <si>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</si>
  <si>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</si>
  <si>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</si>
  <si>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</si>
  <si>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</si>
  <si>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</si>
  <si>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</si>
  <si>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</si>
  <si>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</si>
  <si>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</si>
  <si>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</si>
  <si>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</si>
  <si>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</si>
  <si>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</si>
  <si>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</si>
  <si>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</si>
  <si>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</si>
  <si>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</si>
  <si>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</si>
  <si>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</si>
  <si>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</si>
  <si>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</si>
  <si>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</si>
  <si>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</si>
  <si>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</si>
  <si>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</si>
  <si>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</si>
  <si>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</si>
  <si>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</si>
  <si>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</si>
  <si>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</si>
  <si>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</si>
  <si>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</si>
  <si>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</si>
  <si>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</si>
  <si>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</si>
  <si>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</si>
  <si>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</si>
  <si>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</si>
  <si>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</si>
  <si>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</si>
  <si>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</si>
  <si>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</si>
  <si>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</si>
  <si>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</si>
  <si>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</si>
  <si>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</si>
  <si>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</si>
  <si>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</si>
  <si>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</si>
  <si>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</si>
  <si>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</si>
  <si>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</si>
  <si>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</si>
  <si>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</si>
  <si>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</si>
  <si>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</si>
  <si>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</si>
  <si>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</si>
  <si>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</si>
  <si>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</si>
  <si>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</si>
  <si>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</si>
  <si>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</si>
  <si>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</si>
  <si>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</si>
  <si>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</si>
  <si>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</si>
  <si>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</si>
  <si>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</si>
  <si>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</si>
  <si>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</si>
  <si>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</si>
  <si>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</si>
  <si>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</si>
  <si>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</si>
  <si>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</si>
  <si>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</si>
  <si>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</si>
  <si>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</si>
  <si>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</si>
  <si>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</si>
  <si>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</si>
  <si>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</si>
  <si>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</si>
  <si>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</si>
  <si>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</si>
  <si>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</si>
  <si>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</si>
  <si>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</si>
  <si>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</si>
  <si>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</si>
  <si>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</si>
  <si>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</si>
  <si>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</si>
  <si>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</si>
  <si>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</si>
  <si>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</si>
  <si>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</si>
  <si>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</si>
  <si>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</si>
  <si>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</si>
  <si>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</si>
  <si>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</si>
  <si>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</si>
  <si>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</si>
  <si>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</si>
  <si>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</si>
  <si>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</si>
  <si>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</si>
  <si>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</si>
  <si>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</si>
  <si>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</si>
  <si>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</si>
  <si>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</si>
  <si>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</si>
  <si>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</si>
  <si>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</si>
  <si>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</si>
  <si>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</si>
  <si>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</si>
  <si>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</si>
  <si>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</si>
  <si>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</si>
  <si>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</si>
  <si>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</si>
  <si>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</si>
  <si>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</si>
  <si>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</si>
  <si>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</si>
  <si>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</si>
  <si>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</si>
  <si>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</si>
  <si>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</si>
  <si>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</si>
  <si>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</si>
  <si>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</si>
  <si>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</si>
  <si>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</si>
  <si>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</si>
  <si>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</si>
  <si>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</si>
  <si>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</si>
  <si>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</si>
  <si>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</si>
  <si>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</si>
  <si>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</si>
  <si>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</si>
  <si>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</si>
  <si>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</si>
  <si>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</si>
  <si>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</si>
  <si>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</si>
  <si>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</si>
  <si>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</si>
  <si>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</si>
  <si>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</si>
  <si>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</si>
  <si>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</si>
  <si>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</si>
  <si>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</si>
  <si>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</si>
  <si>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</si>
  <si>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</si>
  <si>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</si>
  <si>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</si>
  <si>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</si>
  <si>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</si>
  <si>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</si>
  <si>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</si>
  <si>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</si>
  <si>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</si>
  <si>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</si>
  <si>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</si>
  <si>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</si>
  <si>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</si>
  <si>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</si>
  <si>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</si>
  <si>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</si>
  <si>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</si>
  <si>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</si>
  <si>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</si>
  <si>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</si>
  <si>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</si>
  <si>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</si>
  <si>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</si>
  <si>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</si>
  <si>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</si>
  <si>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</si>
  <si>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</si>
  <si>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</si>
  <si>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</si>
  <si>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</si>
  <si>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</si>
  <si>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</si>
  <si>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</si>
  <si>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</si>
  <si>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</si>
  <si>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</si>
  <si>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</si>
  <si>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</si>
  <si>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</si>
  <si>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</si>
  <si>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</si>
  <si>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</si>
  <si>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</si>
  <si>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</si>
  <si>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</si>
  <si>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</si>
  <si>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</si>
  <si>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</si>
  <si>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</si>
  <si>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</si>
  <si>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</si>
  <si>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</si>
  <si>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</si>
  <si>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</si>
  <si>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</si>
  <si>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</si>
  <si>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</si>
  <si>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</si>
  <si>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</si>
  <si>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</si>
  <si>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</si>
  <si>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</si>
  <si>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</si>
  <si>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</si>
  <si>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</si>
  <si>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</si>
  <si>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</si>
  <si>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</si>
  <si>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</si>
  <si>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</si>
  <si>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</si>
  <si>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</si>
  <si>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</si>
  <si>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</si>
  <si>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</si>
  <si>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</si>
  <si>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</si>
  <si>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</si>
  <si>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</si>
  <si>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</si>
  <si>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</si>
  <si>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</si>
  <si>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</si>
  <si>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</si>
  <si>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</si>
  <si>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</si>
  <si>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</si>
  <si>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</si>
  <si>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</si>
  <si>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</si>
  <si>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</si>
  <si>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</si>
  <si>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</si>
  <si>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</si>
  <si>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</si>
  <si>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</si>
  <si>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</si>
  <si>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</si>
  <si>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</si>
  <si>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</si>
  <si>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</si>
  <si>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</si>
  <si>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</si>
  <si>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</si>
  <si>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</si>
  <si>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</si>
  <si>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</si>
  <si>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</si>
  <si>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</si>
  <si>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</si>
  <si>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</si>
  <si>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</si>
  <si>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</si>
  <si>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</si>
  <si>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</si>
  <si>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</si>
  <si>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</si>
  <si>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</si>
  <si>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</si>
  <si>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</si>
  <si>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</si>
  <si>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</si>
  <si>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</si>
  <si>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</si>
  <si>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</si>
  <si>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</si>
  <si>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</si>
  <si>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</si>
  <si>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</si>
  <si>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</si>
  <si>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</si>
  <si>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</si>
  <si>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</si>
  <si>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</si>
  <si>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</si>
  <si>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</si>
  <si>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</si>
  <si>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</si>
  <si>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</si>
  <si>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</si>
  <si>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</si>
  <si>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</si>
  <si>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</si>
  <si>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</si>
  <si>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</si>
  <si>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</si>
  <si>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</si>
  <si>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</si>
  <si>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</si>
  <si>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</si>
  <si>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</si>
  <si>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</si>
  <si>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</si>
  <si>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</si>
  <si>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</si>
  <si>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</si>
  <si>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</si>
  <si>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</si>
  <si>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</si>
  <si>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</si>
  <si>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</si>
  <si>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</si>
  <si>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</si>
  <si>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</si>
  <si>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</si>
  <si>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</si>
  <si>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</si>
  <si>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</si>
  <si>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</si>
  <si>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</si>
  <si>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</si>
  <si>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</si>
  <si>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</si>
  <si>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</si>
  <si>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</si>
  <si>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</si>
  <si>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</si>
  <si>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</si>
  <si>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</si>
  <si>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</si>
  <si>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</si>
  <si>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</si>
  <si>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</si>
  <si>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</si>
  <si>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</si>
  <si>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</si>
  <si>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</si>
  <si>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</si>
  <si>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</si>
  <si>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</si>
  <si>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</si>
  <si>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</si>
  <si>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</si>
  <si>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</si>
  <si>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</si>
  <si>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</si>
  <si>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</si>
  <si>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</si>
  <si>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</si>
  <si>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</si>
  <si>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</si>
  <si>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</si>
  <si>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</si>
  <si>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</si>
  <si>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</si>
  <si>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</si>
  <si>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</si>
  <si>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</si>
  <si>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</si>
  <si>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</si>
  <si>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</si>
  <si>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</si>
  <si>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</si>
  <si>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</si>
  <si>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</si>
  <si>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</si>
  <si>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</si>
  <si>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</si>
  <si>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</si>
  <si>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</si>
  <si>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</si>
  <si>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</si>
  <si>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</si>
  <si>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</si>
  <si>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</si>
  <si>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</si>
  <si>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</si>
  <si>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</si>
  <si>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</si>
  <si>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</si>
  <si>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</si>
  <si>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</si>
  <si>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</si>
  <si>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</si>
  <si>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</si>
  <si>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</si>
  <si>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</si>
  <si>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</si>
  <si>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</si>
  <si>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</si>
  <si>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</si>
  <si>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</si>
  <si>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</si>
  <si>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</si>
  <si>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</si>
  <si>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</si>
  <si>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</si>
  <si>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</si>
  <si>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</si>
  <si>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</si>
  <si>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</si>
  <si>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</si>
  <si>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</si>
  <si>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</si>
  <si>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</si>
  <si>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</si>
  <si>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</si>
  <si>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</si>
  <si>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</si>
  <si>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</si>
  <si>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</si>
  <si>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</si>
  <si>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</si>
  <si>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</si>
  <si>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</si>
  <si>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</si>
  <si>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</si>
  <si>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</si>
  <si>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</si>
  <si>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</si>
  <si>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</si>
  <si>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</si>
  <si>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</si>
  <si>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</si>
  <si>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</si>
  <si>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</si>
  <si>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</si>
  <si>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</si>
  <si>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</si>
  <si>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</si>
  <si>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</si>
  <si>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</si>
  <si>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</si>
  <si>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</si>
  <si>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</si>
  <si>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</si>
  <si>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</si>
  <si>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</si>
  <si>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</si>
  <si>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</si>
  <si>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</si>
  <si>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</si>
  <si>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</si>
  <si>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</si>
  <si>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</si>
  <si>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</si>
  <si>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</si>
  <si>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</si>
  <si>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</si>
  <si>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</si>
  <si>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</si>
  <si>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</si>
  <si>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</si>
  <si>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</si>
  <si>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</si>
  <si>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</si>
  <si>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</si>
  <si>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</si>
  <si>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</si>
  <si>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</si>
  <si>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</si>
  <si>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</si>
  <si>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</si>
  <si>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</si>
  <si>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</si>
  <si>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</si>
  <si>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</si>
  <si>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</si>
  <si>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</si>
  <si>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</si>
  <si>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</si>
  <si>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</si>
  <si>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</si>
  <si>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</si>
  <si>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</si>
  <si>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</si>
  <si>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</si>
  <si>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</si>
  <si>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</si>
  <si>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</si>
  <si>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</si>
  <si>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</si>
  <si>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</si>
  <si>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</si>
  <si>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</si>
  <si>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</si>
  <si>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</si>
  <si>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</si>
  <si>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</si>
  <si>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</si>
  <si>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</si>
  <si>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</si>
  <si>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</si>
  <si>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</si>
  <si>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</si>
  <si>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</si>
  <si>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</si>
  <si>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</si>
  <si>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</si>
  <si>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</si>
  <si>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</si>
  <si>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</si>
  <si>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</si>
  <si>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</si>
  <si>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</si>
  <si>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</si>
  <si>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</si>
  <si>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</si>
  <si>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</si>
  <si>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</si>
  <si>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</si>
  <si>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</si>
  <si>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</si>
  <si>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</si>
  <si>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</si>
  <si>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</si>
  <si>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</si>
  <si>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</si>
  <si>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</si>
  <si>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</si>
  <si>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</si>
  <si>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</si>
  <si>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</si>
  <si>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</si>
  <si>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</si>
  <si>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</si>
  <si>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</si>
  <si>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</si>
  <si>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</si>
  <si>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</si>
  <si>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</si>
  <si>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</si>
  <si>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</si>
  <si>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</si>
  <si>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</si>
  <si>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</si>
  <si>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</si>
  <si>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</si>
  <si>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</si>
  <si>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</si>
  <si>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</si>
  <si>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</si>
  <si>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</si>
  <si>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</si>
  <si>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</si>
  <si>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</si>
  <si>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</si>
  <si>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</si>
  <si>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</si>
  <si>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</si>
  <si>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</si>
  <si>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</si>
  <si>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</si>
  <si>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</si>
  <si>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</si>
  <si>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</si>
  <si>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</si>
  <si>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</si>
  <si>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</si>
  <si>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</si>
  <si>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</si>
  <si>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</si>
  <si>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</si>
  <si>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</si>
  <si>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</si>
  <si>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</si>
  <si>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</si>
  <si>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</si>
  <si>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</si>
  <si>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</si>
  <si>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</si>
  <si>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</si>
  <si>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</si>
  <si>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</si>
  <si>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</si>
  <si>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</si>
  <si>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</si>
  <si>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</si>
  <si>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</si>
  <si>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</si>
  <si>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</si>
  <si>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</si>
  <si>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</si>
  <si>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</si>
  <si>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</si>
  <si>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</si>
  <si>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</si>
  <si>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</si>
  <si>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</si>
  <si>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</si>
  <si>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</si>
  <si>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</si>
  <si>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</si>
  <si>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</si>
  <si>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</si>
  <si>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</si>
  <si>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</si>
  <si>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</si>
  <si>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</si>
  <si>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</si>
  <si>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</si>
  <si>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</si>
  <si>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</si>
  <si>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</si>
  <si>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</si>
  <si>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</si>
  <si>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</si>
  <si>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</si>
  <si>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</si>
  <si>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</si>
  <si>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</si>
  <si>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</si>
  <si>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</si>
  <si>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</si>
  <si>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</si>
  <si>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</si>
  <si>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</si>
  <si>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</si>
  <si>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</si>
  <si>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</si>
  <si>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</si>
  <si>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</si>
  <si>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</si>
  <si>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</si>
  <si>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</si>
  <si>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</si>
  <si>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</si>
  <si>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</si>
  <si>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</si>
  <si>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</si>
  <si>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</si>
  <si>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</si>
  <si>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</si>
  <si>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</si>
  <si>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</si>
  <si>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</si>
  <si>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</si>
  <si>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</si>
  <si>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</si>
  <si>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</si>
  <si>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</si>
  <si>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</si>
  <si>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</si>
  <si>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</si>
  <si>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</si>
  <si>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</si>
  <si>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</si>
  <si>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</si>
  <si>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</si>
  <si>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</si>
  <si>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</si>
  <si>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</si>
  <si>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</si>
  <si>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</si>
  <si>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</si>
  <si>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</si>
  <si>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</si>
  <si>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</si>
  <si>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</si>
  <si>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</si>
  <si>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</si>
  <si>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</si>
  <si>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</si>
  <si>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</si>
  <si>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</si>
  <si>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</si>
  <si>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</si>
  <si>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</si>
  <si>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</si>
  <si>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</si>
  <si>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</si>
  <si>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</si>
  <si>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</si>
  <si>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</si>
  <si>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</si>
  <si>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</si>
  <si>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</si>
  <si>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</si>
  <si>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</si>
  <si>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</si>
  <si>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</si>
  <si>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</si>
  <si>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</si>
  <si>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</si>
  <si>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</si>
  <si>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</si>
  <si>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</si>
  <si>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</si>
  <si>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</si>
  <si>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</si>
  <si>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</si>
  <si>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</si>
  <si>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</si>
  <si>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</si>
  <si>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</si>
  <si>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</si>
  <si>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</si>
  <si>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</si>
  <si>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</si>
  <si>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</si>
  <si>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</si>
  <si>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</si>
  <si>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</si>
  <si>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</si>
  <si>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</si>
  <si>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</si>
  <si>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</si>
  <si>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</si>
  <si>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</si>
  <si>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</si>
  <si>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</si>
  <si>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</si>
  <si>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</si>
  <si>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</si>
  <si>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</si>
  <si>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</si>
  <si>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</si>
  <si>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</si>
  <si>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</si>
  <si>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</si>
  <si>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</si>
  <si>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</si>
  <si>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</si>
  <si>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</si>
  <si>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</si>
  <si>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</si>
  <si>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</si>
  <si>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</si>
  <si>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</si>
  <si>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</si>
  <si>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</si>
  <si>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</si>
  <si>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</si>
  <si>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</si>
  <si>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</si>
  <si>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</si>
  <si>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</si>
  <si>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</si>
  <si>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</si>
  <si>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</si>
  <si>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</si>
  <si>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</si>
  <si>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</si>
  <si>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</si>
  <si>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</si>
  <si>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</si>
  <si>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</si>
  <si>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</si>
  <si>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</si>
  <si>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</si>
  <si>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</si>
  <si>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</si>
  <si>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</si>
  <si>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</si>
  <si>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</si>
  <si>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</si>
  <si>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</si>
  <si>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</si>
  <si>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</si>
  <si>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</si>
  <si>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</si>
  <si>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</si>
  <si>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</si>
  <si>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</si>
  <si>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</si>
  <si>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</si>
  <si>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</si>
  <si>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</si>
  <si>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</si>
  <si>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</si>
  <si>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</si>
  <si>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</si>
  <si>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</si>
  <si>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</si>
  <si>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</si>
  <si>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</si>
  <si>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</si>
  <si>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</si>
  <si>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</si>
  <si>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</si>
  <si>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</si>
  <si>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</si>
  <si>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</si>
  <si>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</si>
  <si>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</si>
  <si>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</si>
  <si>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</si>
  <si>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</si>
  <si>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</si>
  <si>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</si>
  <si>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</si>
  <si>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</si>
  <si>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</si>
  <si>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</si>
  <si>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</si>
  <si>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</si>
  <si>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</si>
  <si>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</si>
  <si>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</si>
  <si>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</si>
  <si>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</si>
  <si>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</si>
  <si>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</si>
  <si>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</si>
  <si>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</si>
  <si>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</si>
  <si>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</si>
  <si>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</si>
  <si>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</si>
  <si>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</si>
  <si>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</si>
  <si>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</si>
  <si>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</si>
  <si>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</si>
  <si>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</si>
  <si>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</si>
  <si>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</si>
  <si>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</si>
  <si>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</si>
  <si>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</si>
  <si>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</si>
  <si>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</si>
  <si>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</si>
  <si>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</si>
  <si>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</si>
  <si>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</si>
  <si>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</si>
  <si>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</si>
  <si>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</si>
  <si>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</si>
  <si>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</si>
  <si>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</si>
  <si>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</si>
  <si>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</si>
  <si>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</si>
  <si>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</si>
  <si>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</si>
  <si>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</si>
  <si>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</si>
  <si>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</si>
  <si>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</si>
  <si>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</si>
  <si>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</si>
  <si>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</si>
  <si>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</si>
  <si>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</si>
  <si>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</si>
  <si>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</si>
  <si>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</si>
  <si>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</si>
  <si>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</si>
  <si>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</si>
  <si>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</si>
  <si>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</si>
  <si>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</si>
  <si>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</si>
  <si>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</si>
  <si>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</si>
  <si>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</si>
  <si>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</si>
  <si>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</si>
  <si>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</si>
  <si>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</si>
  <si>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</si>
  <si>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</si>
  <si>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</si>
  <si>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</si>
  <si>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</si>
  <si>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</si>
  <si>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</si>
  <si>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</si>
  <si>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</si>
  <si>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</si>
  <si>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</si>
  <si>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</si>
  <si>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</si>
  <si>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</si>
  <si>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</si>
  <si>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</si>
  <si>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</si>
  <si>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</si>
  <si>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</si>
  <si>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</si>
  <si>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</si>
  <si>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</si>
  <si>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</si>
  <si>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</si>
  <si>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</si>
  <si>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</si>
  <si>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</si>
  <si>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</si>
  <si>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</si>
  <si>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</si>
  <si>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</si>
  <si>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</si>
  <si>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</si>
  <si>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</si>
  <si>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</si>
  <si>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</si>
  <si>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</si>
  <si>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</si>
  <si>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</si>
  <si>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</si>
  <si>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</si>
  <si>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</si>
  <si>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</si>
  <si>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</si>
  <si>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</si>
  <si>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</si>
  <si>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</si>
  <si>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</si>
  <si>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</si>
  <si>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</si>
  <si>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</si>
  <si>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</si>
  <si>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</si>
  <si>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</si>
  <si>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</si>
  <si>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</si>
  <si>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</si>
  <si>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</si>
  <si>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</si>
  <si>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</si>
  <si>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</si>
  <si>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</si>
  <si>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</si>
  <si>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</si>
  <si>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</si>
  <si>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</si>
  <si>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</si>
  <si>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</si>
  <si>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</si>
  <si>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</si>
  <si>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</si>
  <si>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</si>
  <si>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</si>
  <si>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</si>
  <si>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</si>
  <si>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</si>
  <si>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</si>
  <si>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</si>
  <si>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</si>
  <si>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</si>
  <si>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</si>
  <si>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</si>
  <si>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</si>
  <si>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</si>
  <si>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</si>
  <si>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</si>
  <si>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</si>
  <si>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</si>
  <si>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</si>
  <si>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</si>
  <si>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</si>
  <si>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</si>
  <si>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</si>
  <si>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</si>
  <si>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</si>
  <si>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</si>
  <si>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</si>
  <si>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</si>
  <si>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</si>
  <si>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</si>
  <si>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</si>
  <si>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</si>
  <si>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</si>
  <si>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</si>
  <si>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</si>
  <si>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</si>
  <si>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</si>
  <si>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</si>
  <si>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</si>
  <si>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</si>
  <si>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</si>
  <si>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</si>
  <si>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</si>
  <si>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</si>
  <si>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</si>
  <si>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</si>
  <si>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</si>
  <si>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</si>
  <si>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</si>
  <si>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</si>
  <si>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</si>
  <si>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</si>
  <si>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</si>
  <si>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</si>
  <si>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</si>
  <si>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</si>
  <si>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</si>
  <si>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</si>
  <si>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</si>
  <si>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</si>
  <si>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</si>
  <si>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</si>
  <si>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</si>
  <si>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</si>
  <si>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</si>
  <si>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</si>
  <si>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</si>
  <si>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</si>
  <si>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</si>
  <si>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</si>
  <si>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</si>
  <si>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</si>
  <si>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</si>
  <si>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</si>
  <si>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</si>
  <si>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</si>
  <si>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</si>
  <si>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</si>
  <si>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</si>
  <si>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</si>
  <si>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</si>
  <si>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</si>
  <si>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</si>
  <si>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</si>
  <si>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</si>
  <si>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</si>
  <si>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</si>
  <si>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</si>
  <si>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</si>
  <si>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</si>
  <si>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</si>
  <si>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</si>
  <si>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</si>
  <si>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</si>
  <si>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</si>
  <si>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</si>
  <si>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</si>
  <si>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</si>
  <si>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</si>
  <si>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</si>
  <si>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</si>
  <si>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</si>
  <si>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</si>
  <si>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</si>
  <si>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</si>
  <si>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</si>
  <si>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</si>
  <si>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</si>
  <si>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</si>
  <si>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</si>
  <si>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</si>
  <si>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</si>
  <si>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</si>
  <si>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</si>
  <si>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</si>
  <si>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</si>
  <si>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</si>
  <si>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</si>
  <si>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</si>
  <si>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</si>
  <si>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</si>
  <si>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</si>
  <si>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</si>
  <si>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</si>
  <si>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</si>
  <si>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</si>
  <si>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</si>
  <si>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</si>
  <si>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</si>
  <si>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</si>
  <si>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</si>
  <si>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</si>
  <si>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</si>
  <si>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</si>
  <si>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</si>
  <si>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</si>
  <si>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</si>
  <si>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</si>
  <si>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</si>
  <si>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</si>
  <si>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</si>
  <si>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</si>
  <si>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</si>
  <si>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</si>
  <si>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</si>
  <si>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</si>
  <si>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</si>
  <si>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</si>
  <si>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</si>
  <si>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</si>
  <si>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</si>
  <si>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</si>
  <si>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</si>
  <si>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</si>
  <si>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</si>
  <si>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</si>
  <si>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</si>
  <si>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</si>
  <si>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</si>
  <si>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</si>
  <si>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</si>
  <si>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</si>
  <si>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</si>
  <si>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</si>
  <si>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</si>
  <si>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</si>
  <si>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</si>
  <si>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</si>
  <si>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</si>
  <si>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</si>
  <si>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</si>
  <si>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</si>
  <si>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</si>
  <si>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</si>
  <si>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</si>
  <si>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</si>
  <si>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</si>
  <si>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</si>
  <si>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</si>
  <si>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</si>
  <si>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</si>
  <si>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</si>
  <si>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</si>
  <si>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</si>
  <si>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</si>
  <si>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</si>
  <si>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</si>
  <si>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</si>
  <si>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</si>
  <si>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</si>
  <si>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</si>
  <si>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</si>
  <si>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</si>
  <si>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</si>
  <si>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</si>
  <si>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</si>
  <si>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</si>
  <si>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</si>
  <si>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</si>
  <si>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</si>
  <si>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</si>
  <si>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</si>
  <si>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</si>
  <si>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</si>
  <si>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</si>
  <si>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</si>
  <si>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</si>
  <si>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</si>
  <si>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</si>
  <si>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</si>
  <si>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</si>
  <si>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</si>
  <si>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</si>
  <si>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</si>
  <si>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</si>
  <si>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</si>
  <si>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</si>
  <si>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</si>
  <si>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</si>
  <si>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</si>
  <si>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</si>
  <si>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</si>
  <si>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</si>
  <si>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</si>
  <si>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</si>
  <si>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</si>
  <si>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</si>
  <si>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</si>
  <si>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</si>
  <si>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</si>
  <si>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</si>
  <si>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</si>
  <si>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</si>
  <si>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</si>
  <si>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</si>
  <si>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</si>
  <si>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</si>
  <si>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</si>
  <si>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</si>
  <si>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</si>
  <si>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</si>
  <si>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</si>
  <si>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</si>
  <si>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</si>
  <si>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</si>
  <si>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</si>
  <si>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</si>
  <si>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</si>
  <si>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</si>
  <si>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</si>
  <si>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</si>
  <si>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</si>
  <si>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</si>
  <si>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</si>
  <si>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</si>
  <si>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</si>
  <si>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</si>
  <si>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</si>
  <si>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</si>
  <si>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</si>
  <si>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</si>
  <si>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</si>
  <si>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</si>
  <si>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</si>
  <si>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</si>
  <si>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</si>
  <si>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</si>
  <si>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</si>
  <si>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</si>
  <si>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</si>
  <si>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</si>
  <si>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</si>
  <si>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</si>
  <si>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</si>
  <si>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</si>
  <si>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</si>
  <si>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</si>
  <si>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</si>
  <si>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</si>
  <si>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</si>
  <si>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</si>
  <si>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</si>
  <si>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</si>
  <si>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</si>
  <si>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</si>
  <si>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</si>
  <si>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</si>
  <si>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</si>
  <si>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</si>
  <si>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</si>
  <si>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</si>
  <si>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</si>
  <si>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</si>
  <si>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</si>
  <si>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</si>
  <si>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</si>
  <si>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</si>
  <si>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</si>
  <si>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</si>
  <si>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</si>
  <si>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</si>
  <si>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</si>
  <si>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</si>
  <si>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</si>
  <si>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</si>
  <si>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</si>
  <si>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</si>
  <si>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</si>
  <si>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</si>
  <si>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</si>
  <si>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</si>
  <si>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</si>
  <si>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</si>
  <si>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</si>
  <si>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</si>
  <si>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</si>
  <si>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</si>
  <si>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</si>
  <si>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</si>
  <si>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</si>
  <si>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</si>
  <si>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</si>
  <si>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</si>
  <si>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</si>
  <si>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</si>
  <si>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</si>
  <si>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</si>
  <si>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</si>
  <si>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</si>
  <si>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</si>
  <si>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</si>
  <si>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</si>
  <si>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</si>
  <si>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</si>
  <si>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</si>
  <si>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</si>
  <si>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</si>
  <si>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</si>
  <si>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</si>
  <si>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</si>
  <si>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</si>
  <si>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</si>
  <si>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</si>
  <si>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</si>
  <si>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</si>
  <si>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</si>
  <si>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</si>
  <si>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</si>
  <si>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</si>
  <si>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</si>
  <si>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</si>
  <si>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</si>
  <si>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</si>
  <si>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</si>
  <si>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</si>
  <si>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</si>
  <si>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</si>
  <si>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</si>
  <si>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</si>
  <si>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</si>
  <si>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</si>
  <si>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</si>
  <si>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</si>
  <si>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</si>
  <si>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</si>
  <si>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</si>
  <si>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</si>
  <si>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</si>
  <si>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</si>
  <si>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</si>
  <si>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</si>
  <si>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</si>
  <si>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</si>
  <si>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</si>
  <si>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</si>
  <si>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</si>
  <si>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</si>
  <si>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</si>
  <si>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</si>
  <si>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</si>
  <si>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</si>
  <si>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</si>
  <si>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</si>
  <si>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</si>
  <si>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</si>
  <si>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</si>
  <si>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</si>
  <si>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</si>
  <si>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</si>
  <si>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</si>
  <si>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</si>
  <si>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</si>
  <si>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</si>
  <si>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</si>
  <si>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</si>
  <si>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</si>
  <si>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</si>
  <si>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</si>
  <si>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</si>
  <si>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</si>
  <si>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</si>
  <si>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</si>
  <si>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</si>
  <si>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</si>
  <si>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</si>
  <si>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</si>
  <si>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</si>
  <si>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</si>
  <si>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</si>
  <si>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</si>
  <si>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</si>
  <si>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</si>
  <si>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</si>
  <si>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</si>
  <si>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</si>
  <si>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</si>
  <si>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</si>
  <si>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</si>
  <si>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</si>
  <si>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</si>
  <si>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</si>
  <si>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</si>
  <si>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</si>
  <si>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</si>
  <si>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</si>
  <si>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</si>
  <si>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</si>
  <si>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</si>
  <si>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</si>
  <si>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</si>
  <si>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</si>
  <si>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</si>
  <si>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</si>
  <si>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</si>
  <si>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</si>
  <si>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</si>
  <si>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</si>
  <si>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</si>
  <si>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</si>
  <si>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</si>
  <si>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</si>
  <si>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</si>
  <si>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</si>
  <si>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</si>
  <si>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</si>
  <si>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</si>
  <si>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</si>
  <si>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</si>
  <si>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</si>
  <si>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</si>
  <si>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</si>
  <si>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</si>
  <si>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</si>
  <si>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</si>
  <si>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</si>
  <si>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</si>
  <si>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</si>
  <si>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</si>
  <si>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</si>
  <si>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</si>
  <si>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</si>
  <si>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</si>
  <si>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</si>
  <si>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</si>
  <si>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</si>
  <si>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</si>
  <si>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</si>
  <si>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</si>
  <si>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</si>
  <si>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</si>
  <si>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</si>
  <si>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</si>
  <si>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</si>
  <si>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</si>
  <si>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</si>
  <si>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</si>
  <si>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</si>
  <si>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</si>
  <si>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</si>
  <si>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</si>
  <si>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</si>
  <si>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</si>
  <si>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</si>
  <si>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</si>
  <si>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</si>
  <si>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</si>
  <si>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</si>
  <si>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</si>
  <si>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</si>
  <si>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</si>
  <si>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</si>
  <si>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</si>
  <si>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</si>
  <si>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</si>
  <si>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</si>
  <si>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</si>
  <si>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</si>
  <si>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</si>
  <si>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</si>
  <si>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</si>
  <si>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</si>
  <si>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</si>
  <si>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</si>
  <si>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</si>
  <si>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</si>
  <si>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</si>
  <si>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</si>
  <si>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</si>
  <si>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</si>
  <si>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</si>
  <si>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</si>
  <si>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</si>
  <si>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</si>
  <si>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</si>
  <si>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</si>
  <si>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</si>
  <si>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</si>
  <si>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</si>
  <si>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</si>
  <si>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</si>
  <si>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</si>
  <si>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</si>
  <si>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</si>
  <si>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</si>
  <si>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</si>
  <si>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</si>
  <si>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</si>
  <si>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</si>
  <si>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</si>
  <si>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</si>
  <si>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</si>
  <si>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</si>
  <si>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</si>
  <si>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</si>
  <si>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</si>
  <si>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</si>
  <si>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</si>
  <si>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</si>
  <si>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</si>
  <si>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</si>
  <si>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</si>
  <si>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</si>
  <si>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</si>
  <si>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</si>
  <si>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</si>
  <si>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</si>
  <si>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</si>
  <si>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</si>
  <si>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</si>
  <si>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</si>
  <si>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</si>
  <si>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</si>
  <si>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</si>
  <si>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</si>
  <si>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</si>
  <si>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</si>
  <si>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</si>
  <si>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</si>
  <si>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</si>
  <si>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</si>
  <si>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</si>
  <si>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</si>
  <si>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</si>
  <si>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</si>
  <si>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</si>
  <si>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</si>
  <si>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</si>
  <si>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</si>
  <si>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</si>
  <si>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</si>
  <si>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</si>
  <si>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</si>
  <si>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</si>
  <si>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</si>
  <si>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</si>
  <si>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</si>
  <si>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metro, concedido 1hr de intervalo devido malha saturada, alto fluxo de trens na regiao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</si>
  <si>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</si>
  <si>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</si>
  <si>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</si>
  <si>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</si>
  <si>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</si>
  <si>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</si>
  <si>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</si>
  <si>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</si>
  <si>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</si>
  <si>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</si>
  <si>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</si>
  <si>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</si>
  <si>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</si>
  <si>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332+000 em 326332 / km 325+000 e km 323+000 em ZGI326</t>
  </si>
  <si>
    <t>Alívio de tensão</t>
  </si>
  <si>
    <t>ZMO-2</t>
  </si>
  <si>
    <t>ZMO2</t>
  </si>
  <si>
    <t>Renato</t>
  </si>
  <si>
    <t>Substituição de trilho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</si>
  <si>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</si>
  <si>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</si>
  <si>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</si>
  <si>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</si>
  <si>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</si>
  <si>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</si>
  <si>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</si>
  <si>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João</t>
  </si>
  <si>
    <t>Henrique / Wesley</t>
  </si>
  <si>
    <t>Puxamento da VIA (Local do acidente) / Considerando abertura do intervalo na livrada do V40</t>
  </si>
  <si>
    <t>Antonioni / Ary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</si>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</sst>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3" dataDxfId="242" headerRowBorderDxfId="240" tableBorderDxfId="241" totalsRowBorderDxfId="239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8"/>
    <tableColumn id="11" xr3:uid="{33520CA5-F846-4E76-93B5-CB06B5FE2FAB}" name="Coordenação Cod" dataDxfId="237"/>
    <tableColumn id="2" xr3:uid="{C84FE88F-829A-43C2-9585-F43A9E153FAA}" name="Coordenação" dataDxfId="236"/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zoomScaleNormal="100" workbookViewId="0">
      <pane xSplit="6" topLeftCell="BJ1" activePane="topRight" state="frozen"/>
      <selection pane="topRight" activeCell="BK217" sqref="BK21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9" t="s">
        <v>977</v>
      </c>
      <c r="C1" s="230"/>
      <c r="D1" s="230"/>
      <c r="E1" s="3"/>
      <c r="F1" s="229" t="s">
        <v>978</v>
      </c>
      <c r="G1" s="230"/>
      <c r="H1" s="231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2"/>
      <c r="AH1" s="5"/>
      <c r="AI1" s="239" t="s">
        <v>979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980</v>
      </c>
      <c r="BI1" s="245"/>
      <c r="BJ1" s="245"/>
      <c r="BK1" s="246"/>
      <c r="BL1" s="5"/>
      <c r="BM1" s="236" t="s">
        <v>981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9" t="s">
        <v>982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985</v>
      </c>
      <c r="AT2" s="240"/>
      <c r="AU2" s="240"/>
      <c r="AV2" s="240"/>
      <c r="AW2" s="240"/>
      <c r="AX2" s="240"/>
      <c r="AY2" s="243"/>
      <c r="AZ2" s="6"/>
      <c r="BA2" s="233" t="s">
        <v>986</v>
      </c>
      <c r="BB2" s="235"/>
      <c r="BC2" s="239" t="s">
        <v>983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3" t="s">
        <v>987</v>
      </c>
      <c r="AJ3" s="235"/>
      <c r="AK3" s="233" t="s">
        <v>988</v>
      </c>
      <c r="AL3" s="234"/>
      <c r="AM3" s="255"/>
      <c r="AN3" s="256"/>
      <c r="AO3" s="234"/>
      <c r="AP3" s="234"/>
      <c r="AQ3" s="235"/>
      <c r="AR3" s="67"/>
      <c r="AS3" s="227" t="s">
        <v>994</v>
      </c>
      <c r="AT3" s="228"/>
      <c r="AU3" s="227" t="s">
        <v>995</v>
      </c>
      <c r="AV3" s="228"/>
      <c r="AW3" s="227" t="s">
        <v>996</v>
      </c>
      <c r="AX3" s="228"/>
      <c r="AY3" s="67" t="s">
        <v>997</v>
      </c>
      <c r="AZ3" s="67"/>
      <c r="BA3" s="253"/>
      <c r="BB3" s="254"/>
      <c r="BC3" s="233" t="s">
        <v>990</v>
      </c>
      <c r="BD3" s="234"/>
      <c r="BE3" s="234"/>
      <c r="BF3" s="235"/>
      <c r="BG3" s="66"/>
      <c r="BH3" s="247"/>
      <c r="BI3" s="248"/>
      <c r="BJ3" s="248"/>
      <c r="BK3" s="249"/>
      <c r="BL3" s="66"/>
      <c r="BM3" s="236" t="s">
        <v>998</v>
      </c>
      <c r="BN3" s="237"/>
      <c r="BO3" s="237"/>
      <c r="BP3" s="238"/>
      <c r="BQ3" s="236" t="s">
        <v>800</v>
      </c>
      <c r="BR3" s="237"/>
      <c r="BS3" s="238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72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72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70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70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70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70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70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70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497</v>
      </c>
      <c r="BN218" s="145" t="s">
        <v>516</v>
      </c>
      <c r="BO218" s="146" t="s">
        <v>632</v>
      </c>
      <c r="BP218" s="19" t="s">
        <v>1577</v>
      </c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0.5916666666666659</v>
      </c>
      <c r="BS218" s="22">
        <f>IF(OR(B218="",F218=""),"*",BA218/Q218)</f>
        <v>0.39215686274509803</v>
      </c>
      <c r="BT218" s="8" t="str">
        <f t="shared" si="2"/>
        <v>MecanizaçãoOperação</v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70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/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idden="1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1591</v>
      </c>
      <c r="X228" s="118" t="s">
        <v>481</v>
      </c>
      <c r="Y228" s="145"/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 hidden="1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/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 hidden="1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479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 hidden="1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6" t="s">
        <v>1593</v>
      </c>
      <c r="N231" s="226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192" t="s">
        <v>479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 hidden="1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479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6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 hidden="1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/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 hidden="1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71" t="s">
        <v>1210</v>
      </c>
      <c r="N235" s="271" t="s">
        <v>1211</v>
      </c>
      <c r="O235" s="120">
        <v>0.375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1597</v>
      </c>
      <c r="W235" s="119" t="s">
        <v>1598</v>
      </c>
      <c r="X235" s="118" t="s">
        <v>481</v>
      </c>
      <c r="Y235" s="145"/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 hidden="1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1599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/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 hidden="1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1600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1601</v>
      </c>
      <c r="X240" s="118" t="s">
        <v>481</v>
      </c>
      <c r="Y240" s="145"/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 hidden="1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479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1602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1603</v>
      </c>
      <c r="W241" s="119" t="s">
        <v>1136</v>
      </c>
      <c r="X241" s="118" t="s">
        <v>481</v>
      </c>
      <c r="Y241" s="145"/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 hidden="1">
      <c r="A242" s="149" t="str">
        <f>D242&amp;B242</f>
        <v>JOÃO (TF-655)45947</v>
      </c>
      <c r="B242" s="116">
        <v>45947</v>
      </c>
      <c r="C242" s="9">
        <f>IF(BS_CONTROLE[[#This Row],[DATA]]="","",WEEKNUM(BS_CONTROLE[[#This Row],[DATA]]))</f>
        <v>42</v>
      </c>
      <c r="D242" s="118" t="s">
        <v>973</v>
      </c>
      <c r="E242" s="47">
        <v>237</v>
      </c>
      <c r="F242" s="142" t="s">
        <v>807</v>
      </c>
      <c r="G242" s="10" t="str">
        <f>IF(D242="","*",VLOOKUP(F242,BS_ATIVIDADE[],3,FALSE))</f>
        <v>AMV</v>
      </c>
      <c r="H242" s="192" t="s">
        <v>479</v>
      </c>
      <c r="I242" s="120" t="s">
        <v>479</v>
      </c>
      <c r="J242" s="119">
        <v>73</v>
      </c>
      <c r="K242" s="119">
        <v>10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Nº DE PEÇAS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1604</v>
      </c>
      <c r="W242" s="119" t="s">
        <v>1598</v>
      </c>
      <c r="X242" s="118" t="s">
        <v>481</v>
      </c>
      <c r="Y242" s="145"/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PDM - AMV - JACARÉ</v>
      </c>
      <c r="AJ242" s="10" t="str">
        <f>IF(BS_CONTROLE[[#This Row],[Atividade]]=0, "-", BS_CONTROLE[[#This Row],[Atividade]])</f>
        <v>PDM - AMV - JACARÉ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KM9K10</v>
      </c>
      <c r="AO242" s="119">
        <f>IF(BS_CONTROLE[[#This Row],[SUB]]=0, "-", BS_CONTROLE[[#This Row],[SUB]])</f>
        <v>73</v>
      </c>
      <c r="AP242" s="119">
        <f>BS_CONTROLE[[#This Row],[KM - Inicio]]</f>
        <v>10</v>
      </c>
      <c r="AQ242" s="119">
        <f>BS_CONTROLE[[#This Row],[KM - Inicio]]</f>
        <v>10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Nº DE PEÇAS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João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 hidden="1">
      <c r="A243" s="149" t="str">
        <f>D243&amp;B243</f>
        <v>TURMA FIXA VIA 45947</v>
      </c>
      <c r="B243" s="116">
        <v>45947</v>
      </c>
      <c r="C243" s="9">
        <f>IF(BS_CONTROLE[[#This Row],[DATA]]="","",WEEKNUM(BS_CONTROLE[[#This Row],[DATA]]))</f>
        <v>42</v>
      </c>
      <c r="D243" s="118" t="s">
        <v>887</v>
      </c>
      <c r="E243" s="47">
        <v>240</v>
      </c>
      <c r="F243" s="142" t="s">
        <v>794</v>
      </c>
      <c r="G243" s="10" t="str">
        <f>IF(D243="","*",VLOOKUP(F243,BS_ATIVIDADE[],3,FALSE))</f>
        <v>OUTROS</v>
      </c>
      <c r="H243" s="192" t="s">
        <v>479</v>
      </c>
      <c r="I243" s="120" t="s">
        <v>479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0.41666666666666669</v>
      </c>
      <c r="P243" s="120">
        <v>8.3333333333333329E-2</v>
      </c>
      <c r="Q243" s="119">
        <v>1</v>
      </c>
      <c r="R243" s="11" t="str">
        <f>IFERROR(_xlfn.XLOOKUP(F243, BS_ATIVIDADE[ATIVIDADE],BS_ATIVIDADE[UNIDADE] ), "*")</f>
        <v>BINÁRIO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1605</v>
      </c>
      <c r="W243" s="119" t="s">
        <v>1606</v>
      </c>
      <c r="X243" s="118" t="s">
        <v>481</v>
      </c>
      <c r="Y243" s="145"/>
      <c r="Z243" s="118"/>
      <c r="AA243" s="119" t="s">
        <v>479</v>
      </c>
      <c r="AB243" s="117" t="s">
        <v>479</v>
      </c>
      <c r="AC243" s="117" t="s">
        <v>479</v>
      </c>
      <c r="AD243" s="121" t="s">
        <v>479</v>
      </c>
      <c r="AE243" s="119" t="s">
        <v>479</v>
      </c>
      <c r="AF243" s="119" t="s">
        <v>479</v>
      </c>
      <c r="AG243" s="119" t="s">
        <v>479</v>
      </c>
      <c r="AH243" s="17"/>
      <c r="AI243" s="142" t="str">
        <f>IF(BS_CONTROLE[[#This Row],[Atividade]]=0, "-", BS_CONTROLE[[#This Row],[Atividade]])</f>
        <v>OUTRAS ATIVIDADES</v>
      </c>
      <c r="AJ243" s="10" t="str">
        <f>IF(BS_CONTROLE[[#This Row],[Atividade]]=0, "-", BS_CONTROLE[[#This Row],[Atividade]])</f>
        <v>OUTRAS ATIVIDADES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BINÁRIO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Henrique / Wesley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 hidden="1">
      <c r="A244" s="149" t="str">
        <f>D244&amp;B244</f>
        <v>V4045947</v>
      </c>
      <c r="B244" s="116">
        <v>45947</v>
      </c>
      <c r="C244" s="9">
        <f>IF(BS_CONTROLE[[#This Row],[DATA]]="","",WEEKNUM(BS_CONTROLE[[#This Row],[DATA]]))</f>
        <v>42</v>
      </c>
      <c r="D244" s="118" t="s">
        <v>813</v>
      </c>
      <c r="E244" s="47">
        <v>241</v>
      </c>
      <c r="F244" s="142" t="s">
        <v>756</v>
      </c>
      <c r="G244" s="10" t="str">
        <f>IF(D244="","*",VLOOKUP(F244,BS_ATIVIDADE[],3,FALSE))</f>
        <v>MECANIZAÇÃO - SOCADORA</v>
      </c>
      <c r="H244" s="192" t="s">
        <v>1422</v>
      </c>
      <c r="I244" s="192" t="s">
        <v>1422</v>
      </c>
      <c r="J244" s="119">
        <v>73</v>
      </c>
      <c r="K244" s="119">
        <v>15.1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4" s="120">
        <v>0.33333333333333331</v>
      </c>
      <c r="P244" s="120">
        <v>8.3333333333333329E-2</v>
      </c>
      <c r="Q244" s="119">
        <v>700</v>
      </c>
      <c r="R244" s="11" t="str">
        <f>IFERROR(_xlfn.XLOOKUP(F244, BS_ATIVIDADE[ATIVIDADE],BS_ATIVIDADE[UNIDADE] ), "*")</f>
        <v>M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1607</v>
      </c>
      <c r="W244" s="119" t="s">
        <v>1320</v>
      </c>
      <c r="X244" s="118" t="s">
        <v>481</v>
      </c>
      <c r="Y244" s="145"/>
      <c r="Z244" s="118"/>
      <c r="AA244" s="119">
        <v>1</v>
      </c>
      <c r="AB244" s="117" t="s">
        <v>471</v>
      </c>
      <c r="AC244" s="117" t="s">
        <v>465</v>
      </c>
      <c r="AD244" s="121">
        <v>0.29166666666666669</v>
      </c>
      <c r="AE244" s="119">
        <v>6240</v>
      </c>
      <c r="AF244" s="119">
        <v>6200</v>
      </c>
      <c r="AG244" s="119" t="s">
        <v>479</v>
      </c>
      <c r="AH244" s="17"/>
      <c r="AI244" s="142" t="str">
        <f>IF(BS_CONTROLE[[#This Row],[Atividade]]=0, "-", BS_CONTROLE[[#This Row],[Atividade]])</f>
        <v>MECANIZAÇÃO - SOCADORA</v>
      </c>
      <c r="AJ244" s="10" t="str">
        <f>IF(BS_CONTROLE[[#This Row],[Atividade]]=0, "-", BS_CONTROLE[[#This Row],[Atividade]])</f>
        <v>MECANIZAÇÃO - SOCADORA</v>
      </c>
      <c r="AK244" s="35" t="str">
        <f>BS_CONTROLE[[#This Row],[Local - Partida]]</f>
        <v>ZMA2</v>
      </c>
      <c r="AL244" s="35" t="str">
        <f>BS_CONTROLE[[#This Row],[Local - Encerramento]]</f>
        <v>ZMA2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K14K18</v>
      </c>
      <c r="AO244" s="119">
        <f>IF(BS_CONTROLE[[#This Row],[SUB]]=0, "-", BS_CONTROLE[[#This Row],[SUB]])</f>
        <v>73</v>
      </c>
      <c r="AP244" s="119">
        <f>BS_CONTROLE[[#This Row],[KM - Inicio]]</f>
        <v>15.1</v>
      </c>
      <c r="AQ244" s="119">
        <f>BS_CONTROLE[[#This Row],[KM - Inicio]]</f>
        <v>15.1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M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Antonioni / Ary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 hidden="1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479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/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4:AE244" name="Range1_1_7_35_1_3"/>
    <protectedRange sqref="AF135:AF143 AF152 AF208 AF200 AF218 AF222 AF224 AF24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47:W247 V234:W234" name="Range1_1_6_8"/>
    <protectedRange sqref="Z237 X240 X237:X238 Z247 X247 Z234 X234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33 Y238:Z246 Y248:Z734 Y235:Z236">
    <cfRule type="cellIs" dxfId="225" priority="42710" operator="equal">
      <formula>"OPORTUNIDADE"</formula>
    </cfRule>
  </conditionalFormatting>
  <conditionalFormatting sqref="Z736 Y6:Z59 Z60 Y188:Z188 Y61:Z186 Z207:Z210 Y205:Z205 Z199:Z204 Y190:Z198 Z214:Z225 Y214:Y216 Y218:Y224 Y211:Z213 Y221:Z233 Y238:Z246 Y248:Z735 Y235:Z236">
    <cfRule type="cellIs" dxfId="224" priority="296" operator="equal">
      <formula>"NÃO"</formula>
    </cfRule>
    <cfRule type="cellIs" dxfId="223" priority="297" operator="equal">
      <formula>"SIM"</formula>
    </cfRule>
  </conditionalFormatting>
  <conditionalFormatting sqref="AZ6:AZ734">
    <cfRule type="expression" dxfId="222" priority="42752">
      <formula>#REF!=1</formula>
    </cfRule>
  </conditionalFormatting>
  <conditionalFormatting sqref="BF60 U6:U59 V60 AY6:AY738 U61:U736 BE6:BE738">
    <cfRule type="cellIs" dxfId="221" priority="42736" operator="equal">
      <formula>"ERRO"</formula>
    </cfRule>
  </conditionalFormatting>
  <conditionalFormatting sqref="BQ6:BQ155 BQ157:BQ738">
    <cfRule type="cellIs" dxfId="220" priority="42731" operator="equal">
      <formula>"Produção e Intervalo"</formula>
    </cfRule>
    <cfRule type="cellIs" dxfId="219" priority="42732" operator="equal">
      <formula>"Aderente"</formula>
    </cfRule>
    <cfRule type="cellIs" dxfId="218" priority="42733" operator="equal">
      <formula>"Intervalo"</formula>
    </cfRule>
    <cfRule type="cellIs" dxfId="217" priority="42734" operator="equal">
      <formula>"Produção"</formula>
    </cfRule>
    <cfRule type="cellIs" dxfId="216" priority="42735" operator="equal">
      <formula>"ERRO"</formula>
    </cfRule>
  </conditionalFormatting>
  <conditionalFormatting sqref="BR6:BS738">
    <cfRule type="cellIs" dxfId="215" priority="42713" operator="equal">
      <formula>"*"</formula>
    </cfRule>
    <cfRule type="cellIs" dxfId="214" priority="42714" operator="greaterThanOrEqual">
      <formula>1</formula>
    </cfRule>
    <cfRule type="cellIs" dxfId="213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12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11" priority="134" operator="equal">
      <formula>"OPORTUNIDADE"</formula>
    </cfRule>
  </conditionalFormatting>
  <conditionalFormatting sqref="Z187">
    <cfRule type="cellIs" dxfId="210" priority="132" operator="equal">
      <formula>"NÃO"</formula>
    </cfRule>
    <cfRule type="cellIs" dxfId="209" priority="133" operator="equal">
      <formula>"SIM"</formula>
    </cfRule>
  </conditionalFormatting>
  <conditionalFormatting sqref="Z189">
    <cfRule type="cellIs" dxfId="208" priority="131" operator="equal">
      <formula>"OPORTUNIDADE"</formula>
    </cfRule>
  </conditionalFormatting>
  <conditionalFormatting sqref="Z189">
    <cfRule type="cellIs" dxfId="207" priority="129" operator="equal">
      <formula>"NÃO"</formula>
    </cfRule>
    <cfRule type="cellIs" dxfId="206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5" priority="124" operator="equal">
      <formula>"OPORTUNIDADE"</formula>
    </cfRule>
  </conditionalFormatting>
  <conditionalFormatting sqref="Y187">
    <cfRule type="cellIs" dxfId="204" priority="122" operator="equal">
      <formula>"NÃO"</formula>
    </cfRule>
    <cfRule type="cellIs" dxfId="203" priority="123" operator="equal">
      <formula>"SIM"</formula>
    </cfRule>
  </conditionalFormatting>
  <conditionalFormatting sqref="Y189">
    <cfRule type="cellIs" dxfId="202" priority="121" operator="equal">
      <formula>"OPORTUNIDADE"</formula>
    </cfRule>
  </conditionalFormatting>
  <conditionalFormatting sqref="Y189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9" priority="70" operator="equal">
      <formula>"OPORTUNIDADE"</formula>
    </cfRule>
  </conditionalFormatting>
  <conditionalFormatting sqref="Z206">
    <cfRule type="cellIs" dxfId="198" priority="68" operator="equal">
      <formula>"NÃO"</formula>
    </cfRule>
    <cfRule type="cellIs" dxfId="197" priority="69" operator="equal">
      <formula>"SIM"</formula>
    </cfRule>
  </conditionalFormatting>
  <conditionalFormatting sqref="Y206:Y210">
    <cfRule type="cellIs" dxfId="196" priority="67" operator="equal">
      <formula>"OPORTUNIDADE"</formula>
    </cfRule>
  </conditionalFormatting>
  <conditionalFormatting sqref="Y206:Y210">
    <cfRule type="cellIs" dxfId="195" priority="65" operator="equal">
      <formula>"NÃO"</formula>
    </cfRule>
    <cfRule type="cellIs" dxfId="194" priority="66" operator="equal">
      <formula>"SIM"</formula>
    </cfRule>
  </conditionalFormatting>
  <conditionalFormatting sqref="Y204">
    <cfRule type="cellIs" dxfId="193" priority="64" operator="equal">
      <formula>"OPORTUNIDADE"</formula>
    </cfRule>
  </conditionalFormatting>
  <conditionalFormatting sqref="Y204">
    <cfRule type="cellIs" dxfId="192" priority="62" operator="equal">
      <formula>"NÃO"</formula>
    </cfRule>
    <cfRule type="cellIs" dxfId="191" priority="63" operator="equal">
      <formula>"SIM"</formula>
    </cfRule>
  </conditionalFormatting>
  <conditionalFormatting sqref="Y203">
    <cfRule type="cellIs" dxfId="190" priority="61" operator="equal">
      <formula>"OPORTUNIDADE"</formula>
    </cfRule>
  </conditionalFormatting>
  <conditionalFormatting sqref="Y203">
    <cfRule type="cellIs" dxfId="189" priority="59" operator="equal">
      <formula>"NÃO"</formula>
    </cfRule>
    <cfRule type="cellIs" dxfId="188" priority="60" operator="equal">
      <formula>"SIM"</formula>
    </cfRule>
  </conditionalFormatting>
  <conditionalFormatting sqref="Y202">
    <cfRule type="cellIs" dxfId="187" priority="58" operator="equal">
      <formula>"OPORTUNIDADE"</formula>
    </cfRule>
  </conditionalFormatting>
  <conditionalFormatting sqref="Y202">
    <cfRule type="cellIs" dxfId="186" priority="56" operator="equal">
      <formula>"NÃO"</formula>
    </cfRule>
    <cfRule type="cellIs" dxfId="185" priority="57" operator="equal">
      <formula>"SIM"</formula>
    </cfRule>
  </conditionalFormatting>
  <conditionalFormatting sqref="Y201">
    <cfRule type="cellIs" dxfId="184" priority="55" operator="equal">
      <formula>"OPORTUNIDADE"</formula>
    </cfRule>
  </conditionalFormatting>
  <conditionalFormatting sqref="Y201">
    <cfRule type="cellIs" dxfId="183" priority="53" operator="equal">
      <formula>"NÃO"</formula>
    </cfRule>
    <cfRule type="cellIs" dxfId="182" priority="54" operator="equal">
      <formula>"SIM"</formula>
    </cfRule>
  </conditionalFormatting>
  <conditionalFormatting sqref="Y200">
    <cfRule type="cellIs" dxfId="181" priority="52" operator="equal">
      <formula>"OPORTUNIDADE"</formula>
    </cfRule>
  </conditionalFormatting>
  <conditionalFormatting sqref="Y200">
    <cfRule type="cellIs" dxfId="180" priority="50" operator="equal">
      <formula>"NÃO"</formula>
    </cfRule>
    <cfRule type="cellIs" dxfId="179" priority="51" operator="equal">
      <formula>"SIM"</formula>
    </cfRule>
  </conditionalFormatting>
  <conditionalFormatting sqref="Y199">
    <cfRule type="cellIs" dxfId="178" priority="49" operator="equal">
      <formula>"OPORTUNIDADE"</formula>
    </cfRule>
  </conditionalFormatting>
  <conditionalFormatting sqref="Y199">
    <cfRule type="cellIs" dxfId="177" priority="47" operator="equal">
      <formula>"NÃO"</formula>
    </cfRule>
    <cfRule type="cellIs" dxfId="176" priority="48" operator="equal">
      <formula>"SIM"</formula>
    </cfRule>
  </conditionalFormatting>
  <conditionalFormatting sqref="BQ156">
    <cfRule type="cellIs" dxfId="175" priority="42" operator="equal">
      <formula>"Produção e Intervalo"</formula>
    </cfRule>
    <cfRule type="cellIs" dxfId="174" priority="43" operator="equal">
      <formula>"Aderente"</formula>
    </cfRule>
    <cfRule type="cellIs" dxfId="173" priority="44" operator="equal">
      <formula>"Intervalo"</formula>
    </cfRule>
    <cfRule type="cellIs" dxfId="172" priority="45" operator="equal">
      <formula>"Produção"</formula>
    </cfRule>
    <cfRule type="cellIs" dxfId="171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70" priority="35" operator="equal">
      <formula>"OPORTUNIDADE"</formula>
    </cfRule>
  </conditionalFormatting>
  <conditionalFormatting sqref="Y21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225">
    <cfRule type="cellIs" dxfId="167" priority="29" operator="equal">
      <formula>"OPORTUNIDADE"</formula>
    </cfRule>
  </conditionalFormatting>
  <conditionalFormatting sqref="Y225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4" priority="10" operator="equal">
      <formula>"OPORTUNIDADE"</formula>
    </cfRule>
  </conditionalFormatting>
  <conditionalFormatting sqref="Y237:Z237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61" priority="6" operator="equal">
      <formula>"OPORTUNIDADE"</formula>
    </cfRule>
  </conditionalFormatting>
  <conditionalFormatting sqref="Y247:Z247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34:Z234">
    <cfRule type="cellIs" dxfId="158" priority="3" operator="equal">
      <formula>"OPORTUNIDADE"</formula>
    </cfRule>
  </conditionalFormatting>
  <conditionalFormatting sqref="Y234: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E223" sqref="E22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7" t="s">
        <v>1608</v>
      </c>
      <c r="D5" s="258"/>
      <c r="E5" s="258"/>
      <c r="F5" s="258"/>
      <c r="G5" s="258"/>
      <c r="H5" s="258"/>
      <c r="I5" s="258"/>
      <c r="J5" s="259"/>
      <c r="K5" s="260" t="s">
        <v>1609</v>
      </c>
      <c r="L5" s="261"/>
      <c r="M5" s="261"/>
      <c r="N5" s="261"/>
      <c r="O5" s="262" t="s">
        <v>1610</v>
      </c>
      <c r="P5" s="263"/>
    </row>
    <row r="6" spans="1:16" s="82" customFormat="1" ht="15" customHeight="1">
      <c r="A6" s="74" t="s">
        <v>1611</v>
      </c>
      <c r="B6" s="83" t="s">
        <v>1612</v>
      </c>
      <c r="C6" s="84" t="s">
        <v>1019</v>
      </c>
      <c r="D6" s="85" t="s">
        <v>1020</v>
      </c>
      <c r="E6" s="84" t="s">
        <v>1613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1614</v>
      </c>
      <c r="M6" s="88" t="s">
        <v>669</v>
      </c>
      <c r="N6" s="89" t="s">
        <v>1014</v>
      </c>
      <c r="O6" s="90" t="s">
        <v>1057</v>
      </c>
      <c r="P6" s="151" t="s">
        <v>1615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metro, concedido 1hr de intervalo devido malha saturada, alto fluxo de trens na regiao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-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-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-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-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-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-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0.375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-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>JOÃO (TF-655)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10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10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 xml:space="preserve">TURMA FIXA VIA </v>
      </c>
      <c r="F243" s="92" t="str">
        <f>IF(SP_NORTE!H243="","*",SP_NORTE!H243)</f>
        <v>-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0.41666666666666669</v>
      </c>
      <c r="J243" s="128">
        <f>IF(SP_NORTE!P243="","*",SP_NORTE!P243)</f>
        <v>8.3333333333333329E-2</v>
      </c>
      <c r="K243" s="92" t="str">
        <f>IF(SP_NORTE!AK243="","*",SP_NORTE!AK243)</f>
        <v>-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V40</v>
      </c>
      <c r="F244" s="92" t="str">
        <f>IF(SP_NORTE!H244="","*",SP_NORTE!H244)</f>
        <v>ZMA2</v>
      </c>
      <c r="G244" s="92" t="str">
        <f>IF(SP_NORTE!M244="","*",SP_NORTE!M244)</f>
        <v>ZTO-ZDZ</v>
      </c>
      <c r="H244" s="131">
        <f>IF(SP_NORTE!K244="","*",SP_NORTE!K244)</f>
        <v>15.1</v>
      </c>
      <c r="I244" s="128">
        <f>IF(SP_NORTE!O244="","*",SP_NORTE!O244)</f>
        <v>0.33333333333333331</v>
      </c>
      <c r="J244" s="128">
        <f>IF(SP_NORTE!P244="","*",SP_NORTE!P244)</f>
        <v>8.3333333333333329E-2</v>
      </c>
      <c r="K244" s="92" t="str">
        <f>IF(SP_NORTE!AK244="","*",SP_NORTE!AK244)</f>
        <v>ZMA2</v>
      </c>
      <c r="L244" s="92" t="str">
        <f>IF(SP_NORTE!AM244="","*",SP_NORTE!AM244)</f>
        <v>ZTO-ZDZ</v>
      </c>
      <c r="M244" s="92">
        <f>IF(SP_NORTE!AP244="","*",SP_NORTE!AP244)</f>
        <v>15.1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-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-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B224" sqref="B224:T242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4"/>
      <c r="B1" s="265"/>
      <c r="C1" s="266"/>
      <c r="L1" s="94"/>
      <c r="M1" s="125"/>
      <c r="N1" s="125"/>
      <c r="O1" s="125"/>
      <c r="P1" s="267" t="s">
        <v>1067</v>
      </c>
      <c r="Q1" s="268"/>
      <c r="R1" s="125"/>
      <c r="T1" s="95"/>
      <c r="U1" s="269" t="s">
        <v>1616</v>
      </c>
      <c r="V1" s="269"/>
      <c r="W1" s="269"/>
    </row>
    <row r="2" spans="1:23" s="93" customFormat="1">
      <c r="A2" s="96" t="s">
        <v>1617</v>
      </c>
      <c r="B2" s="96" t="s">
        <v>1612</v>
      </c>
      <c r="C2" s="96" t="s">
        <v>470</v>
      </c>
      <c r="D2" s="97" t="s">
        <v>1019</v>
      </c>
      <c r="E2" s="97" t="s">
        <v>1020</v>
      </c>
      <c r="F2" s="97" t="s">
        <v>1611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*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*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0.375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*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*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*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*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>JOÃO (TF-655)</v>
      </c>
      <c r="H239" s="185" t="str">
        <f>IF(SP_NORTE!F242="","*",SP_NORTE!F242)</f>
        <v>PDM - AMV - JACARÉ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KM9K10</v>
      </c>
      <c r="M239" s="176">
        <f>IF(SP_NORTE!J242="","*",SP_NORTE!J242)</f>
        <v>73</v>
      </c>
      <c r="N239" s="184">
        <f>IF(SP_NORTE!K242="","*",SP_NORTE!K242)</f>
        <v>10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Nº DE PEÇAS</v>
      </c>
      <c r="S239" s="185" t="str">
        <f>IF(SP_NORTE!V242="","*",SP_NORTE!V242)</f>
        <v>João</v>
      </c>
      <c r="T239" s="185" t="str">
        <f>IF(SP_NORTE!W242="","*",SP_NORTE!W242)</f>
        <v>Substituição de jacaré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*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 xml:space="preserve">TURMA FIXA VIA </v>
      </c>
      <c r="H240" s="185" t="str">
        <f>IF(SP_NORTE!F243="","*",SP_NORTE!F243)</f>
        <v>OUTRAS ATIVIDADES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0.41666666666666669</v>
      </c>
      <c r="Q240" s="183">
        <f>IF(SP_NORTE!P243="","*",SP_NORTE!P243)</f>
        <v>8.3333333333333329E-2</v>
      </c>
      <c r="R240" s="185" t="str">
        <f>IF(SP_NORTE!Q243="","*",CONCATENATE(SP_NORTE!Q243," ",SP_NORTE!R243))</f>
        <v>1 BINÁRIO</v>
      </c>
      <c r="S240" s="185" t="str">
        <f>IF(SP_NORTE!V243="","*",SP_NORTE!V243)</f>
        <v>Henrique / Wesley</v>
      </c>
      <c r="T240" s="185" t="str">
        <f>IF(SP_NORTE!W243="","*",SP_NORTE!W243)</f>
        <v>Puxamento da VIA (Local do acidente) / Considerando abertura do intervalo na livrada do V40</v>
      </c>
      <c r="U240" s="173">
        <f ca="1">_xlfn.XLOOKUP(G240&amp;$U$2,BS_CONTROLE[CHAVE],BS_CONTROLE[Quantidade_11],"-")</f>
        <v>24</v>
      </c>
      <c r="V240" s="173">
        <f ca="1">_xlfn.XLOOKUP(G240&amp;$V$2,BS_CONTROLE[CHAVE],BS_CONTROLE[Quantidade_11],"-")</f>
        <v>1</v>
      </c>
      <c r="W240" s="173" t="str">
        <f ca="1">_xlfn.XLOOKUP(G240&amp;$W$2,BS_CONTROLE[CHAVE],BS_CONTROLE[Quantidade_11],"-")</f>
        <v>-</v>
      </c>
    </row>
    <row r="241" spans="1:23" s="101" customFormat="1">
      <c r="A241" s="186" t="str">
        <f>IF(SP_NORTE!Y244="","*",SP_NORTE!Y244)</f>
        <v>*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V40</v>
      </c>
      <c r="H241" s="185" t="str">
        <f>IF(SP_NORTE!F244="","*",SP_NORTE!F244)</f>
        <v>MECANIZAÇÃO - SOCADORA</v>
      </c>
      <c r="I241" s="185" t="str">
        <f>IF(SP_NORTE!H244="","*",SP_NORTE!H244)</f>
        <v>ZMA2</v>
      </c>
      <c r="J241" s="185" t="str">
        <f>IF(SP_NORTE!I244="","*",SP_NORTE!I244)</f>
        <v>ZMA2</v>
      </c>
      <c r="K241" s="175" t="str">
        <f>IF(SP_NORTE!M244="","*",SP_NORTE!M244)</f>
        <v>ZTO-ZDZ</v>
      </c>
      <c r="L241" s="175" t="str">
        <f>IF(SP_NORTE!N244="","*",SP_NORTE!N244)</f>
        <v>K14K18</v>
      </c>
      <c r="M241" s="176">
        <f>IF(SP_NORTE!J244="","*",SP_NORTE!J244)</f>
        <v>73</v>
      </c>
      <c r="N241" s="184">
        <f>IF(SP_NORTE!K244="","*",SP_NORTE!K244)</f>
        <v>15.1</v>
      </c>
      <c r="O241" s="184" t="str">
        <f>IF(SP_NORTE!L244="","*",SP_NORTE!L244)</f>
        <v>-</v>
      </c>
      <c r="P241" s="183">
        <f>IF(SP_NORTE!O244="","*",SP_NORTE!O244)</f>
        <v>0.33333333333333331</v>
      </c>
      <c r="Q241" s="183">
        <f>IF(SP_NORTE!P244="","*",SP_NORTE!P244)</f>
        <v>8.3333333333333329E-2</v>
      </c>
      <c r="R241" s="185" t="str">
        <f>IF(SP_NORTE!Q244="","*",CONCATENATE(SP_NORTE!Q244," ",SP_NORTE!R244))</f>
        <v>700 M</v>
      </c>
      <c r="S241" s="185" t="str">
        <f>IF(SP_NORTE!V244="","*",SP_NORTE!V244)</f>
        <v>Antonioni / Ary</v>
      </c>
      <c r="T241" s="185" t="str">
        <f>IF(SP_NORTE!W244="","*",SP_NORTE!W244)</f>
        <v>Socaria no local do acidente - Km 15 SB K14K18 (2 horas)</v>
      </c>
      <c r="U241" s="173">
        <f ca="1">_xlfn.XLOOKUP(G241&amp;$U$2,BS_CONTROLE[CHAVE],BS_CONTROLE[Quantidade_11],"-")</f>
        <v>1040</v>
      </c>
      <c r="V241" s="173">
        <f ca="1">_xlfn.XLOOKUP(G241&amp;$V$2,BS_CONTROLE[CHAVE],BS_CONTROLE[Quantidade_11],"-")</f>
        <v>0</v>
      </c>
      <c r="W241" s="173">
        <f ca="1">_xlfn.XLOOKUP(G241&amp;$W$2,BS_CONTROLE[CHAVE],BS_CONTROLE[Quantidade_11],"-")</f>
        <v>0</v>
      </c>
    </row>
    <row r="242" spans="1:23" s="101" customFormat="1">
      <c r="A242" s="186" t="str">
        <f>IF(SP_NORTE!Y245="","*",SP_NORTE!Y245)</f>
        <v>*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1619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1620</v>
      </c>
      <c r="C2" s="136" t="s">
        <v>1004</v>
      </c>
      <c r="D2" s="84" t="s">
        <v>1006</v>
      </c>
      <c r="E2" s="84" t="s">
        <v>1621</v>
      </c>
      <c r="F2" s="113" t="s">
        <v>1622</v>
      </c>
      <c r="G2" s="84" t="s">
        <v>1623</v>
      </c>
      <c r="H2" s="84" t="s">
        <v>1624</v>
      </c>
      <c r="I2" s="84" t="s">
        <v>1625</v>
      </c>
      <c r="J2" s="84" t="s">
        <v>1626</v>
      </c>
      <c r="K2" s="86" t="s">
        <v>1627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-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-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-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*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*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*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-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*</v>
      </c>
      <c r="C235" s="109">
        <f>IF(SP_NORTE!B242="","*",SP_NORTE!B242)</f>
        <v>45947</v>
      </c>
      <c r="D235" s="108" t="str">
        <f>IF(SP_NORTE!D242="","*",SP_NORTE!D242)</f>
        <v>JOÃO (TF-655)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*</v>
      </c>
      <c r="C236" s="109">
        <f>IF(SP_NORTE!B243="","*",SP_NORTE!B243)</f>
        <v>45947</v>
      </c>
      <c r="D236" s="108" t="str">
        <f>IF(SP_NORTE!D243="","*",SP_NORTE!D243)</f>
        <v xml:space="preserve">TURMA FIXA VIA </v>
      </c>
      <c r="E236" s="108" t="str">
        <f>IF(SP_NORTE!H243="","*",SP_NORTE!H243)</f>
        <v>-</v>
      </c>
      <c r="F236" s="114" t="str">
        <f>IF(SP_NORTE!M243="","*",SP_NORTE!M243)</f>
        <v>ZTO-ZDZ</v>
      </c>
      <c r="G236" s="109" t="str">
        <f>IF(SP_NORTE!I243="","*",SP_NORTE!I243)</f>
        <v>-</v>
      </c>
      <c r="H236" s="109" t="str">
        <f>IF(SP_NORTE!AB243="","*",SP_NORTE!AB243)</f>
        <v>-</v>
      </c>
      <c r="I236" s="109" t="str">
        <f>IF(SP_NORTE!AC243="","*",SP_NORTE!AC243)</f>
        <v>-</v>
      </c>
      <c r="J236" s="110" t="str">
        <f>IF(SP_NORTE!AA243="","*",SP_NORTE!AA243)</f>
        <v>-</v>
      </c>
      <c r="K236" s="111" t="str">
        <f>IF(SP_NORTE!AD243="","*",SP_NORTE!AD243)</f>
        <v>-</v>
      </c>
    </row>
    <row r="237" spans="2:11" s="112" customFormat="1" hidden="1">
      <c r="B237" s="108" t="str">
        <f>IF(SP_NORTE!Y244="","*",SP_NORTE!Y244)</f>
        <v>*</v>
      </c>
      <c r="C237" s="109">
        <f>IF(SP_NORTE!B244="","*",SP_NORTE!B244)</f>
        <v>45947</v>
      </c>
      <c r="D237" s="108" t="str">
        <f>IF(SP_NORTE!D244="","*",SP_NORTE!D244)</f>
        <v>V40</v>
      </c>
      <c r="E237" s="108" t="str">
        <f>IF(SP_NORTE!H244="","*",SP_NORTE!H244)</f>
        <v>ZMA2</v>
      </c>
      <c r="F237" s="114" t="str">
        <f>IF(SP_NORTE!M244="","*",SP_NORTE!M244)</f>
        <v>ZTO-ZDZ</v>
      </c>
      <c r="G237" s="109" t="str">
        <f>IF(SP_NORTE!I244="","*",SP_NORTE!I244)</f>
        <v>ZMA2</v>
      </c>
      <c r="H237" s="109" t="str">
        <f>IF(SP_NORTE!AB244="","*",SP_NORTE!AB244)</f>
        <v>FIXO</v>
      </c>
      <c r="I237" s="109" t="str">
        <f>IF(SP_NORTE!AC244="","*",SP_NORTE!AC244)</f>
        <v>ACIONAMENTO</v>
      </c>
      <c r="J237" s="110">
        <f>IF(SP_NORTE!AA244="","*",SP_NORTE!AA244)</f>
        <v>1</v>
      </c>
      <c r="K237" s="111">
        <f>IF(SP_NORTE!AD244="","*",SP_NORTE!AD244)</f>
        <v>0.29166666666666669</v>
      </c>
    </row>
    <row r="238" spans="2:11" s="112" customFormat="1" hidden="1">
      <c r="B238" s="108" t="str">
        <f>IF(SP_NORTE!Y245="","*",SP_NORTE!Y245)</f>
        <v>*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-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2025-10-16T18:54:32Z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