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06" documentId="8_{B6337239-1A00-434D-AAD0-422EA1FEB5AE}" xr6:coauthVersionLast="47" xr6:coauthVersionMax="47" xr10:uidLastSave="{037409A0-04A6-469B-8D6D-6242BD350C7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 a="1"/>
  <c r="H34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R34" i="16" s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 s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 s="1"/>
  <c r="BD104" i="1" a="1"/>
  <c r="BD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/>
  <c r="L101" i="16" s="1"/>
  <c r="R105" i="1"/>
  <c r="S105" i="1" a="1"/>
  <c r="S105" i="1"/>
  <c r="T105" i="1" a="1"/>
  <c r="T105" i="1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AY105" i="1"/>
  <c r="BC105" i="1" a="1"/>
  <c r="BC105" i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AY106" i="1"/>
  <c r="BC106" i="1" a="1"/>
  <c r="BC106" i="1" s="1"/>
  <c r="BF106" i="1"/>
  <c r="BR106" i="1"/>
  <c r="BS106" i="1"/>
  <c r="BT106" i="1"/>
  <c r="A107" i="1"/>
  <c r="C107" i="1"/>
  <c r="G107" i="1"/>
  <c r="M107" i="1" a="1"/>
  <c r="M107" i="1"/>
  <c r="N107" i="1" a="1"/>
  <c r="N107" i="1" s="1"/>
  <c r="R107" i="1"/>
  <c r="S107" i="1" a="1"/>
  <c r="S107" i="1" s="1"/>
  <c r="T107" i="1" a="1"/>
  <c r="T107" i="1" s="1"/>
  <c r="AI107" i="1"/>
  <c r="AJ107" i="1"/>
  <c r="AK107" i="1"/>
  <c r="K107" i="11" s="1"/>
  <c r="AL107" i="1"/>
  <c r="AM107" i="1"/>
  <c r="AO107" i="1"/>
  <c r="BE107" i="1" s="1"/>
  <c r="AP107" i="1"/>
  <c r="M107" i="11" s="1"/>
  <c r="AQ107" i="1"/>
  <c r="AY107" i="1"/>
  <c r="BB107" i="1"/>
  <c r="BC107" i="1" a="1"/>
  <c r="BC107" i="1" s="1"/>
  <c r="BD107" i="1" a="1"/>
  <c r="BD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/>
  <c r="L104" i="16" s="1"/>
  <c r="R108" i="1"/>
  <c r="S108" i="1" a="1"/>
  <c r="S108" i="1"/>
  <c r="T108" i="1" a="1"/>
  <c r="T108" i="1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AY108" i="1"/>
  <c r="BC108" i="1" a="1"/>
  <c r="BC108" i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N110" i="1" a="1"/>
  <c r="N110" i="1" s="1"/>
  <c r="R110" i="1"/>
  <c r="S110" i="1" a="1"/>
  <c r="S110" i="1" s="1"/>
  <c r="T110" i="1" a="1"/>
  <c r="T110" i="1" s="1"/>
  <c r="AI110" i="1"/>
  <c r="AJ110" i="1"/>
  <c r="AK110" i="1"/>
  <c r="K110" i="11" s="1"/>
  <c r="AL110" i="1"/>
  <c r="AM110" i="1"/>
  <c r="AO110" i="1"/>
  <c r="BE110" i="1" s="1"/>
  <c r="AP110" i="1"/>
  <c r="M110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L107" i="16" s="1"/>
  <c r="R111" i="1"/>
  <c r="S111" i="1" a="1"/>
  <c r="S111" i="1"/>
  <c r="T111" i="1" a="1"/>
  <c r="T111" i="1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 s="1"/>
  <c r="AI113" i="1"/>
  <c r="AJ113" i="1"/>
  <c r="AK113" i="1"/>
  <c r="K113" i="11" s="1"/>
  <c r="AL113" i="1"/>
  <c r="AM113" i="1"/>
  <c r="AO113" i="1"/>
  <c r="BE113" i="1" s="1"/>
  <c r="AP113" i="1"/>
  <c r="M113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L110" i="16" s="1"/>
  <c r="R114" i="1"/>
  <c r="S114" i="1" a="1"/>
  <c r="S114" i="1"/>
  <c r="T114" i="1" a="1"/>
  <c r="T114" i="1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N116" i="1" a="1"/>
  <c r="N116" i="1" s="1"/>
  <c r="R116" i="1"/>
  <c r="S116" i="1" a="1"/>
  <c r="S116" i="1" s="1"/>
  <c r="T116" i="1" a="1"/>
  <c r="T116" i="1" s="1"/>
  <c r="AI116" i="1"/>
  <c r="AJ116" i="1"/>
  <c r="AK116" i="1"/>
  <c r="K116" i="11" s="1"/>
  <c r="AL116" i="1"/>
  <c r="AM116" i="1"/>
  <c r="AO116" i="1"/>
  <c r="BE116" i="1" s="1"/>
  <c r="AP116" i="1"/>
  <c r="M116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L113" i="16" s="1"/>
  <c r="R117" i="1"/>
  <c r="S117" i="1" a="1"/>
  <c r="S117" i="1"/>
  <c r="T117" i="1" a="1"/>
  <c r="T117" i="1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/>
  <c r="AI119" i="1"/>
  <c r="AJ119" i="1"/>
  <c r="AK119" i="1"/>
  <c r="K119" i="11" s="1"/>
  <c r="AL119" i="1"/>
  <c r="AO119" i="1"/>
  <c r="BE119" i="1" s="1"/>
  <c r="AP119" i="1"/>
  <c r="M119" i="11" s="1"/>
  <c r="AQ119" i="1"/>
  <c r="AY119" i="1"/>
  <c r="BB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L116" i="16" s="1"/>
  <c r="R120" i="1"/>
  <c r="S120" i="1" a="1"/>
  <c r="S120" i="1" s="1"/>
  <c r="T120" i="1" a="1"/>
  <c r="T120" i="1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AY120" i="1"/>
  <c r="BC120" i="1" a="1"/>
  <c r="BC120" i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L119" i="16" s="1"/>
  <c r="R123" i="1"/>
  <c r="S123" i="1" a="1"/>
  <c r="S123" i="1" s="1"/>
  <c r="T123" i="1" a="1"/>
  <c r="T123" i="1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AY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20" i="16" s="1"/>
  <c r="R124" i="1"/>
  <c r="S124" i="1" a="1"/>
  <c r="S124" i="1" s="1"/>
  <c r="T124" i="1" a="1"/>
  <c r="T124" i="1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AY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2" i="16" s="1"/>
  <c r="R126" i="1"/>
  <c r="S126" i="1" a="1"/>
  <c r="S126" i="1" s="1"/>
  <c r="T126" i="1" a="1"/>
  <c r="T126" i="1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23" i="16" s="1"/>
  <c r="R127" i="1"/>
  <c r="S127" i="1" a="1"/>
  <c r="S127" i="1" s="1"/>
  <c r="T127" i="1" a="1"/>
  <c r="T127" i="1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AI128" i="1"/>
  <c r="AJ128" i="1"/>
  <c r="AK128" i="1"/>
  <c r="K128" i="11" s="1"/>
  <c r="AL128" i="1"/>
  <c r="AO128" i="1"/>
  <c r="BE128" i="1" s="1"/>
  <c r="AP128" i="1"/>
  <c r="M128" i="11" s="1"/>
  <c r="AQ128" i="1"/>
  <c r="AY128" i="1"/>
  <c r="BB128" i="1"/>
  <c r="BC128" i="1" a="1"/>
  <c r="BC128" i="1" s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5" i="16" s="1"/>
  <c r="R129" i="1"/>
  <c r="S129" i="1" a="1"/>
  <c r="S129" i="1" s="1"/>
  <c r="T129" i="1" a="1"/>
  <c r="T129" i="1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26" i="16" s="1"/>
  <c r="R130" i="1"/>
  <c r="S130" i="1" a="1"/>
  <c r="S130" i="1" s="1"/>
  <c r="T130" i="1" a="1"/>
  <c r="T130" i="1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9" i="16" s="1"/>
  <c r="R133" i="1"/>
  <c r="S133" i="1" a="1"/>
  <c r="S133" i="1" s="1"/>
  <c r="T133" i="1" a="1"/>
  <c r="T133" i="1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AJ135" i="1"/>
  <c r="AK135" i="1"/>
  <c r="K135" i="11" s="1"/>
  <c r="AL135" i="1"/>
  <c r="AO135" i="1"/>
  <c r="BE135" i="1" s="1"/>
  <c r="AP135" i="1"/>
  <c r="M135" i="11" s="1"/>
  <c r="AQ135" i="1"/>
  <c r="AY135" i="1"/>
  <c r="BB135" i="1"/>
  <c r="BC135" i="1" a="1"/>
  <c r="BC135" i="1" s="1"/>
  <c r="BD135" i="1" a="1"/>
  <c r="BD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2" i="16" s="1"/>
  <c r="R136" i="1"/>
  <c r="S136" i="1" a="1"/>
  <c r="S136" i="1" s="1"/>
  <c r="T136" i="1" a="1"/>
  <c r="T136" i="1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3" i="16" s="1"/>
  <c r="R137" i="1"/>
  <c r="S137" i="1" a="1"/>
  <c r="S137" i="1" s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5" i="16" s="1"/>
  <c r="R139" i="1"/>
  <c r="S139" i="1" a="1"/>
  <c r="S139" i="1" s="1"/>
  <c r="T139" i="1" a="1"/>
  <c r="T139" i="1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AY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2" i="16" s="1"/>
  <c r="R146" i="1"/>
  <c r="S146" i="1" a="1"/>
  <c r="S146" i="1" s="1"/>
  <c r="T146" i="1" a="1"/>
  <c r="T146" i="1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111" i="16" l="1"/>
  <c r="AN115" i="1"/>
  <c r="L109" i="16"/>
  <c r="AN113" i="1"/>
  <c r="L102" i="16"/>
  <c r="AN106" i="1"/>
  <c r="L114" i="16"/>
  <c r="AN118" i="1"/>
  <c r="L112" i="16"/>
  <c r="AN116" i="1"/>
  <c r="L105" i="16"/>
  <c r="AN109" i="1"/>
  <c r="L103" i="16"/>
  <c r="AN107" i="1"/>
  <c r="L108" i="16"/>
  <c r="AN112" i="1"/>
  <c r="L106" i="16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L115" i="16"/>
  <c r="AN119" i="1"/>
  <c r="L117" i="16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L128" i="16"/>
  <c r="AN132" i="1"/>
  <c r="L118" i="16"/>
  <c r="AN122" i="1"/>
  <c r="L124" i="16"/>
  <c r="AN128" i="1"/>
  <c r="L121" i="16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L127" i="16"/>
  <c r="AN131" i="1"/>
  <c r="AN130" i="1"/>
  <c r="BD130" i="1" a="1"/>
  <c r="BD130" i="1" s="1"/>
  <c r="AN129" i="1"/>
  <c r="L130" i="16"/>
  <c r="AN134" i="1"/>
  <c r="L131" i="16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<sst xmlns="http://schemas.openxmlformats.org/spreadsheetml/2006/main" count="4273" uniqueCount="1340">
  <si>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</si>
  <si>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</si>
  <si>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</si>
  <si>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</si>
  <si>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</si>
  <si>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</si>
  <si>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</si>
  <si>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</si>
  <si>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</si>
  <si>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</si>
  <si>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</si>
  <si>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</si>
  <si>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</si>
  <si>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</si>
  <si>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</si>
  <si>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</si>
  <si>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</si>
  <si>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</si>
  <si>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</si>
  <si>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</si>
  <si>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</si>
  <si>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</si>
  <si>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</si>
  <si>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</si>
  <si>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</si>
  <si>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</si>
  <si>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</si>
  <si>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</si>
  <si>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</si>
  <si>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</si>
  <si>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</si>
  <si>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</si>
  <si>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</si>
  <si>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</si>
  <si>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</si>
  <si>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</si>
  <si>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</si>
  <si>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</si>
  <si>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</si>
  <si>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</si>
  <si>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</si>
  <si>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</si>
  <si>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</si>
  <si>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</si>
  <si>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</si>
  <si>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</si>
  <si>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</si>
  <si>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</si>
  <si>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</si>
  <si>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</si>
  <si>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</si>
  <si>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</si>
  <si>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</si>
  <si>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</si>
  <si>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</si>
  <si>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</si>
  <si>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</si>
  <si>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</si>
  <si>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</si>
  <si>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</si>
  <si>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</si>
  <si>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</si>
  <si>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</si>
  <si>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</si>
  <si>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</si>
  <si>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</si>
  <si>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</si>
  <si>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</si>
  <si>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</si>
  <si>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</si>
  <si>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</si>
  <si>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</si>
  <si>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</si>
  <si>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</si>
  <si>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</si>
  <si>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</si>
  <si>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</si>
  <si>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</si>
  <si>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</si>
  <si>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</si>
  <si>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</si>
  <si>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</si>
  <si>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</si>
  <si>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</si>
  <si>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</si>
  <si>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</si>
  <si>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</si>
  <si>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</si>
  <si>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</si>
  <si>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</si>
  <si>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</si>
  <si>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</si>
  <si>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</si>
  <si>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</si>
  <si>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</si>
  <si>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</si>
  <si>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</si>
  <si>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</si>
  <si>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</si>
  <si>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</si>
  <si>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</si>
  <si>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</si>
  <si>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</si>
  <si>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</si>
  <si>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</si>
  <si>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</si>
  <si>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</si>
  <si>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</si>
  <si>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</si>
  <si>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</si>
  <si>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</si>
  <si>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</si>
  <si>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</si>
  <si>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</si>
  <si>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</si>
  <si>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</si>
  <si>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</si>
  <si>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</si>
  <si>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</si>
  <si>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</si>
  <si>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</si>
  <si>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</si>
  <si>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</si>
  <si>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</si>
  <si>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</si>
  <si>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</si>
  <si>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</si>
  <si>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</si>
  <si>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</si>
  <si>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</si>
  <si>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</si>
  <si>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</si>
  <si>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</si>
  <si>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</si>
  <si>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</si>
  <si>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</si>
  <si>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</si>
  <si>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</si>
  <si>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</si>
  <si>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</si>
  <si>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</si>
  <si>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</si>
  <si>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</si>
  <si>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</si>
  <si>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</si>
  <si>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</si>
  <si>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</si>
  <si>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</si>
  <si>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</si>
  <si>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</si>
  <si>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</si>
  <si>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</si>
  <si>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</si>
  <si>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</si>
  <si>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</si>
  <si>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</si>
  <si>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</si>
  <si>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</si>
  <si>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</si>
  <si>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</si>
  <si>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</si>
  <si>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</si>
  <si>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</si>
  <si>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</si>
  <si>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</si>
  <si>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</si>
  <si>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</si>
  <si>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</si>
  <si>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</si>
  <si>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</si>
  <si>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</si>
  <si>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</si>
  <si>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</si>
  <si>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</si>
  <si>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</si>
  <si>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</si>
  <si>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</si>
  <si>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</si>
  <si>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</si>
  <si>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</si>
  <si>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</si>
  <si>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</si>
  <si>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</si>
  <si>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</si>
  <si>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</si>
  <si>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</si>
  <si>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</si>
  <si>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</si>
  <si>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</si>
  <si>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</si>
  <si>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</si>
  <si>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</si>
  <si>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</si>
  <si>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</si>
  <si>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</si>
  <si>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</si>
  <si>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</si>
  <si>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</si>
  <si>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</si>
  <si>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</si>
  <si>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</si>
  <si>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</si>
  <si>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</si>
  <si>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</si>
  <si>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</si>
  <si>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</si>
  <si>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</si>
  <si>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</si>
  <si>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</si>
  <si>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</si>
  <si>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</si>
  <si>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</si>
  <si>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</si>
  <si>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</si>
  <si>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</si>
  <si>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</si>
  <si>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</si>
  <si>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</si>
  <si>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</si>
  <si>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</si>
  <si>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</si>
  <si>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</si>
  <si>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</si>
  <si>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</si>
  <si>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</si>
  <si>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</si>
  <si>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</si>
  <si>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</si>
  <si>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</si>
  <si>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</si>
  <si>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</si>
  <si>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</si>
  <si>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</si>
  <si>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</si>
  <si>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</si>
  <si>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</si>
  <si>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</si>
  <si>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</si>
  <si>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</si>
  <si>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</si>
  <si>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</si>
  <si>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</si>
  <si>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</si>
  <si>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</si>
  <si>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</si>
  <si>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</si>
  <si>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</si>
  <si>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</si>
  <si>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</si>
  <si>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</si>
  <si>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</si>
  <si>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</si>
  <si>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</si>
  <si>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</si>
  <si>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</si>
  <si>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</si>
  <si>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</si>
  <si>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</si>
  <si>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</si>
  <si>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</si>
  <si>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</si>
  <si>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</si>
  <si>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</si>
  <si>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</si>
  <si>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</si>
  <si>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</si>
  <si>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</si>
  <si>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</si>
  <si>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</si>
  <si>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</si>
  <si>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</si>
  <si>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</si>
  <si>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</si>
  <si>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</si>
  <si>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</si>
  <si>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</si>
  <si>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</si>
  <si>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</si>
  <si>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</si>
  <si>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</si>
  <si>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</si>
  <si>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</si>
  <si>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</si>
  <si>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</si>
  <si>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</si>
  <si>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</si>
  <si>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</si>
  <si>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</si>
  <si>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</si>
  <si>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</si>
  <si>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</si>
  <si>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</si>
  <si>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</si>
  <si>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</si>
  <si>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</si>
  <si>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</si>
  <si>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</si>
  <si>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</si>
  <si>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</si>
  <si>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</si>
  <si>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</si>
  <si>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</si>
  <si>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</si>
  <si>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</si>
  <si>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</si>
  <si>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</si>
  <si>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</si>
  <si>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</si>
  <si>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</si>
  <si>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</si>
  <si>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</si>
  <si>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</si>
  <si>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</si>
  <si>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</si>
  <si>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</si>
  <si>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</si>
  <si>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</si>
  <si>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</si>
  <si>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</si>
  <si>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</si>
  <si>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</si>
  <si>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</si>
  <si>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</si>
  <si>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</si>
  <si>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</si>
  <si>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</si>
  <si>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</si>
  <si>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</si>
  <si>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</si>
  <si>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</si>
  <si>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</si>
  <si>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</si>
  <si>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</si>
  <si>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</si>
  <si>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</si>
  <si>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</si>
  <si>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</si>
  <si>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</si>
  <si>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</si>
  <si>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</si>
  <si>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</si>
  <si>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</si>
  <si>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</si>
  <si>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</si>
  <si>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</si>
  <si>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</si>
  <si>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</si>
  <si>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</si>
  <si>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</si>
  <si>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</si>
  <si>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</si>
  <si>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</si>
  <si>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</si>
  <si>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</si>
  <si>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</si>
  <si>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</si>
  <si>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</si>
  <si>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</si>
  <si>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</si>
  <si>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</si>
  <si>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</si>
  <si>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</si>
  <si>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</si>
  <si>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</si>
  <si>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</si>
  <si>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</si>
  <si>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</si>
  <si>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</si>
  <si>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</si>
  <si>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</si>
  <si>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</si>
  <si>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</si>
  <si>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</si>
  <si>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</si>
  <si>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</si>
  <si>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</si>
  <si>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</si>
  <si>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</si>
  <si>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</si>
  <si>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</si>
  <si>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</si>
  <si>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</si>
  <si>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</si>
  <si>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</si>
  <si>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</si>
  <si>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</si>
  <si>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</si>
  <si>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</si>
  <si>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</si>
  <si>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</si>
  <si>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</si>
  <si>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</si>
  <si>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</si>
  <si>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</si>
  <si>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</si>
  <si>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</si>
  <si>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</si>
  <si>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</si>
  <si>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</si>
  <si>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</si>
  <si>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</si>
  <si>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</si>
  <si>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</si>
  <si>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</si>
  <si>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</si>
  <si>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</si>
  <si>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</si>
  <si>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</si>
  <si>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</si>
  <si>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</si>
  <si>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</si>
  <si>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</si>
  <si>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</si>
  <si>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</si>
  <si>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</si>
  <si>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</si>
  <si>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</si>
  <si>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</si>
  <si>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</si>
  <si>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</si>
  <si>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</si>
  <si>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</si>
  <si>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</si>
  <si>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</si>
  <si>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</si>
  <si>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</si>
  <si>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</si>
  <si>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</si>
  <si>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</si>
  <si>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</si>
  <si>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</si>
  <si>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</si>
  <si>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</si>
  <si>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</si>
  <si>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</si>
  <si>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</si>
  <si>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</si>
  <si>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</si>
  <si>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</si>
  <si>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</si>
  <si>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</si>
  <si>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</si>
  <si>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</si>
  <si>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</si>
  <si>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</si>
  <si>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</si>
  <si>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</si>
  <si>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</si>
  <si>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</si>
  <si>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</si>
  <si>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</si>
  <si>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</si>
  <si>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</si>
  <si>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</si>
  <si>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</si>
  <si>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</si>
  <si>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</si>
  <si>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</si>
  <si>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</si>
  <si>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</si>
  <si>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</si>
  <si>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</si>
  <si>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</si>
  <si>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</si>
  <si>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</si>
  <si>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</si>
  <si>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</si>
  <si>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</si>
  <si>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</si>
  <si>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</si>
  <si>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</si>
  <si>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</si>
  <si>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</si>
  <si>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</si>
  <si>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</si>
  <si>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</si>
  <si>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</si>
  <si>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</si>
  <si>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</si>
  <si>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</si>
  <si>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</si>
  <si>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</si>
  <si>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</si>
  <si>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</si>
  <si>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</si>
  <si>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</si>
  <si>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</si>
  <si>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</si>
  <si>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</si>
  <si>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</si>
  <si>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</si>
  <si>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</si>
  <si>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</si>
  <si>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</si>
  <si>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</si>
  <si>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</si>
  <si>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</si>
  <si>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</si>
  <si>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</si>
  <si>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</si>
  <si>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</si>
  <si>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</si>
  <si>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</si>
  <si>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</si>
  <si>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</si>
  <si>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</si>
  <si>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</si>
  <si>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</si>
  <si>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</si>
  <si>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</si>
  <si>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</si>
  <si>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</si>
  <si>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</si>
  <si>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</si>
  <si>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</si>
  <si>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</si>
  <si>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</si>
  <si>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</si>
  <si>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</si>
  <si>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</si>
  <si>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</si>
  <si>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</si>
  <si>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</si>
  <si>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</si>
  <si>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</si>
  <si>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</si>
  <si>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</si>
  <si>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</si>
  <si>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</si>
  <si>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</si>
  <si>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</si>
  <si>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</si>
  <si>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</si>
  <si>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</si>
  <si>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</si>
  <si>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</si>
  <si>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</si>
  <si>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</si>
  <si>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</si>
  <si>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</si>
  <si>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</si>
  <si>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</si>
  <si>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</si>
  <si>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</si>
  <si>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</si>
  <si>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</si>
  <si>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</si>
  <si>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</si>
  <si>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</si>
  <si>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</si>
  <si>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</si>
  <si>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</si>
  <si>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</si>
  <si>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</si>
  <si>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</si>
  <si>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</si>
  <si>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</si>
  <si>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</si>
  <si>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</si>
  <si>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</si>
  <si>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</si>
  <si>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</si>
  <si>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</si>
  <si>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</si>
  <si>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</si>
  <si>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</si>
  <si>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</si>
  <si>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</si>
  <si>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</si>
  <si>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</si>
  <si>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</si>
  <si>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</si>
  <si>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</si>
  <si>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</si>
  <si>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</si>
  <si>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</si>
  <si>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</si>
  <si>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</si>
  <si>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</si>
  <si>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</si>
  <si>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</si>
  <si>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</si>
  <si>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</si>
  <si>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</si>
  <si>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</si>
  <si>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</si>
  <si>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</si>
  <si>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</si>
  <si>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</si>
  <si>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</si>
  <si>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</si>
  <si>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</si>
  <si>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</si>
  <si>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</si>
  <si>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</si>
  <si>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</si>
  <si>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</si>
  <si>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</si>
  <si>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</si>
  <si>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</si>
  <si>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</si>
  <si>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</si>
  <si>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</si>
  <si>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</si>
  <si>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</si>
  <si>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</si>
  <si>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</si>
  <si>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</si>
  <si>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</si>
  <si>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</si>
  <si>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</si>
  <si>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</si>
  <si>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</si>
  <si>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</si>
  <si>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</si>
  <si>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</si>
  <si>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</si>
  <si>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</si>
  <si>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</si>
  <si>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</si>
  <si>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</si>
  <si>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</si>
  <si>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</si>
  <si>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</si>
  <si>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</si>
  <si>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</si>
  <si>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</si>
  <si>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</si>
  <si>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</si>
  <si>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</si>
  <si>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</si>
  <si>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</si>
  <si>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</si>
  <si>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</si>
  <si>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</si>
  <si>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</si>
  <si>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</si>
  <si>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</si>
  <si>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</si>
  <si>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</si>
  <si>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</si>
  <si>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</si>
  <si>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</si>
  <si>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</si>
  <si>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</si>
  <si>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</si>
  <si>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</si>
  <si>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</si>
  <si>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</si>
  <si>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</si>
  <si>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</si>
  <si>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</si>
  <si>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</si>
  <si>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</si>
  <si>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</si>
  <si>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</si>
  <si>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</si>
  <si>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</si>
  <si>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</si>
  <si>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</si>
  <si>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</si>
  <si>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</si>
  <si>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</si>
  <si>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</si>
  <si>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</si>
  <si>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</si>
  <si>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</si>
  <si>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</si>
  <si>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</si>
  <si>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</si>
  <si>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</si>
  <si>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</si>
  <si>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</si>
  <si>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</si>
  <si>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</si>
  <si>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</si>
  <si>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</si>
  <si>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</si>
  <si>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</si>
  <si>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</si>
  <si>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</si>
  <si>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</si>
  <si>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</si>
  <si>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</si>
  <si>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</si>
  <si>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</si>
  <si>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</si>
  <si>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</si>
  <si>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</si>
  <si>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</si>
  <si>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</si>
  <si>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</si>
  <si>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</si>
  <si>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</si>
  <si>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</si>
  <si>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</si>
  <si>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</si>
  <si>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</si>
  <si>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</si>
  <si>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</si>
  <si>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</si>
  <si>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</si>
  <si>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</si>
  <si>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</si>
  <si>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</si>
  <si>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</si>
  <si>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</si>
  <si>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</si>
  <si>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</si>
  <si>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</si>
  <si>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</si>
  <si>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</si>
  <si>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</si>
  <si>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</si>
  <si>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</si>
  <si>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</si>
  <si>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</si>
  <si>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</si>
  <si>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</si>
  <si>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</si>
  <si>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</si>
  <si>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</si>
  <si>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</si>
  <si>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</si>
  <si>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</si>
  <si>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</si>
  <si>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</si>
  <si>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</si>
  <si>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</si>
  <si>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</si>
  <si>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</si>
  <si>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</si>
  <si>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</si>
  <si>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</si>
  <si>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</si>
  <si>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</si>
  <si>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</si>
  <si>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</si>
  <si>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</si>
  <si>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</si>
  <si>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</si>
  <si>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</si>
  <si>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</si>
  <si>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</si>
  <si>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</si>
  <si>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</si>
  <si>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</si>
  <si>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</si>
  <si>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</si>
  <si>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</si>
  <si>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</si>
  <si>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</si>
  <si>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</si>
  <si>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</si>
  <si>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</si>
  <si>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</si>
  <si>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</si>
  <si>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</si>
  <si>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</si>
  <si>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</si>
  <si>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</si>
  <si>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</si>
  <si>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</si>
  <si>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</si>
  <si>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</si>
  <si>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</si>
  <si>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</si>
  <si>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</si>
  <si>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</si>
  <si>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</si>
  <si>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</si>
  <si>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</si>
  <si>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</si>
  <si>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</si>
  <si>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</si>
  <si>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</si>
  <si>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</si>
  <si>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</si>
  <si>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</si>
  <si>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</si>
  <si>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</si>
  <si>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</si>
  <si>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</si>
  <si>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</si>
  <si>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</si>
  <si>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</si>
  <si>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</si>
  <si>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</si>
  <si>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</si>
  <si>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</si>
  <si>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</si>
  <si>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</si>
  <si>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</si>
  <si>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</si>
  <si>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</si>
  <si>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</si>
  <si>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</si>
  <si>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</si>
  <si>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</si>
  <si>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</si>
  <si>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</si>
  <si>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</si>
  <si>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</si>
  <si>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</si>
  <si>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</si>
  <si>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</si>
  <si>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</si>
  <si>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</si>
  <si>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</si>
  <si>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</si>
  <si>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</si>
  <si>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</si>
  <si>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</si>
  <si>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</si>
  <si>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</si>
  <si>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</si>
  <si>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</si>
  <si>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</si>
  <si>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</si>
  <si>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</si>
  <si>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</si>
  <si>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</si>
  <si>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</si>
  <si>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</si>
  <si>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</si>
  <si>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</si>
  <si>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</si>
  <si>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</si>
  <si>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</si>
  <si>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</si>
  <si>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</si>
  <si>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</si>
  <si>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</si>
  <si>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</si>
  <si>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</si>
  <si>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</si>
  <si>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</si>
  <si>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</si>
  <si>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</si>
  <si>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</si>
  <si>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</si>
  <si>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</si>
  <si>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</si>
  <si>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</si>
  <si>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</si>
  <si>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</si>
  <si>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</si>
  <si>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</si>
  <si>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</si>
  <si>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</si>
  <si>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</si>
  <si>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</si>
  <si>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</si>
  <si>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</si>
  <si>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</si>
  <si>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</si>
  <si>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</si>
  <si>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</si>
  <si>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</si>
  <si>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</si>
  <si>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</si>
  <si>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</si>
  <si>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</si>
  <si>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</si>
  <si>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</si>
  <si>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</si>
  <si>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</si>
  <si>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</si>
  <si>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</si>
  <si>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</si>
  <si>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</si>
  <si>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</si>
  <si>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</si>
  <si>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</si>
  <si>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</si>
  <si>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</si>
  <si>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</si>
  <si>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</si>
  <si>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</si>
  <si>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</si>
  <si>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</si>
  <si>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</si>
  <si>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</si>
  <si>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</si>
  <si>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</si>
  <si>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</si>
  <si>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</si>
  <si>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</si>
  <si>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</si>
  <si>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</si>
  <si>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</si>
  <si>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</si>
  <si>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</si>
  <si>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</si>
  <si>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</si>
  <si>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</si>
  <si>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</si>
  <si>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</si>
  <si>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</si>
  <si>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</si>
  <si>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</si>
  <si>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</si>
  <si>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</si>
  <si>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</si>
  <si>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</si>
  <si>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</si>
  <si>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</si>
  <si>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</si>
  <si>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</si>
  <si>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</si>
  <si>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</si>
  <si>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</si>
  <si>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</si>
  <si>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</si>
  <si>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</si>
  <si>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</si>
  <si>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</si>
  <si>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</si>
  <si>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</si>
  <si>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</si>
  <si>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</si>
  <si>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</si>
  <si>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</si>
  <si>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</si>
  <si>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</si>
  <si>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</si>
  <si>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</si>
  <si>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</si>
  <si>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</si>
  <si>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</si>
  <si>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</si>
  <si>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</si>
  <si>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</si>
  <si>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</si>
  <si>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</si>
  <si>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</si>
  <si>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</si>
  <si>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</si>
  <si>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</si>
  <si>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</si>
  <si>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</si>
  <si>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</si>
  <si>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</si>
  <si>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</si>
  <si>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</si>
  <si>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</si>
  <si>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</si>
  <si>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</si>
  <si>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</si>
  <si>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</si>
  <si>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</si>
  <si>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</si>
  <si>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</si>
  <si>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</si>
  <si>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</si>
  <si>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</si>
  <si>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</si>
  <si>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</si>
  <si>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</si>
  <si>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</si>
  <si>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</si>
  <si>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</si>
  <si>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</si>
  <si>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</si>
  <si>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</si>
  <si>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</si>
  <si>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</si>
  <si>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</si>
  <si>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</si>
  <si>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</si>
  <si>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</si>
  <si>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</si>
  <si>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</si>
  <si>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</si>
  <si>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</si>
  <si>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</si>
  <si>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</si>
  <si>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</si>
  <si>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</si>
  <si>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</si>
  <si>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</si>
  <si>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</si>
  <si>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</si>
  <si>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</si>
  <si>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</si>
  <si>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</si>
  <si>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</si>
  <si>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</si>
  <si>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</si>
  <si>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</si>
  <si>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</si>
  <si>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</si>
  <si>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</si>
  <si>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</si>
  <si>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</si>
  <si>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</si>
  <si>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</si>
  <si>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</si>
  <si>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</si>
  <si>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</si>
  <si>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</si>
  <si>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</si>
  <si>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</si>
  <si>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</si>
  <si>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</si>
  <si>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</si>
  <si>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</si>
  <si>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</si>
  <si>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</si>
  <si>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</si>
  <si>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</si>
  <si>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</si>
  <si>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</si>
  <si>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</si>
  <si>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</si>
  <si>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</si>
  <si>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</si>
  <si>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</si>
  <si>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</si>
  <si>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</si>
  <si>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</si>
  <si>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</si>
  <si>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</si>
  <si>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</si>
  <si>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</si>
  <si>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</si>
  <si>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</si>
  <si>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</si>
  <si>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</si>
  <si>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</si>
  <si>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</si>
  <si>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</si>
  <si>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</si>
  <si>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</si>
  <si>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</si>
  <si>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</si>
  <si>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</si>
  <si>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</si>
  <si>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</si>
  <si>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</si>
  <si>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</si>
  <si>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</si>
  <si>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</si>
  <si>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</si>
  <si>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</si>
  <si>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</si>
  <si>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</si>
  <si>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</si>
  <si>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</si>
  <si>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</si>
  <si>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</si>
  <si>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</si>
  <si>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</si>
  <si>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</si>
  <si>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</si>
  <si>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</si>
  <si>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</si>
  <si>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</si>
  <si>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</si>
  <si>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</si>
  <si>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</si>
  <si>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</si>
  <si>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</si>
  <si>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</si>
  <si>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</si>
  <si>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</si>
  <si>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</si>
  <si>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</si>
  <si>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</si>
  <si>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</si>
  <si>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</si>
  <si>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</si>
  <si>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</si>
  <si>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</si>
  <si>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</si>
  <si>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</si>
  <si>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</si>
  <si>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</si>
  <si>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</si>
  <si>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</si>
  <si>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</si>
  <si>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</si>
  <si>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</si>
  <si>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</si>
  <si>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</si>
  <si>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</si>
  <si>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</si>
  <si>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</si>
  <si>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</si>
  <si>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</si>
  <si>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</si>
  <si>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</si>
  <si>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</si>
  <si>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</si>
  <si>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</si>
  <si>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</si>
  <si>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</si>
  <si>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</si>
  <si>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</si>
  <si>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</si>
  <si>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</si>
  <si>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</si>
  <si>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</si>
  <si>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</si>
  <si>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</si>
  <si>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</si>
  <si>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</si>
  <si>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</si>
  <si>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</si>
  <si>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</si>
  <si>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</si>
  <si>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</si>
  <si>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</si>
  <si>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</si>
  <si>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</si>
  <si>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</si>
  <si>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</si>
  <si>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</si>
  <si>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</si>
  <si>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</si>
  <si>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</si>
  <si>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</si>
  <si>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</si>
  <si>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</si>
  <si>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</si>
  <si>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</si>
  <si>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</si>
  <si>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</si>
  <si>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</si>
  <si>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</si>
  <si>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</si>
  <si>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</si>
  <si>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</si>
  <si>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</si>
  <si>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</si>
  <si>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</si>
  <si>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</si>
  <si>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</si>
  <si>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</si>
  <si>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</si>
  <si>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</si>
  <si>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</si>
  <si>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</si>
  <si>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</si>
  <si>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</si>
  <si>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</si>
  <si>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</si>
  <si>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</si>
  <si>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</si>
  <si>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</si>
  <si>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</si>
  <si>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</si>
  <si>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</si>
  <si>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</si>
  <si>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</si>
  <si>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</si>
  <si>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</si>
  <si>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</si>
  <si>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</si>
  <si>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</si>
  <si>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</si>
  <si>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</si>
  <si>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</si>
  <si>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</si>
  <si>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</si>
  <si>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</si>
  <si>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</si>
  <si>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</si>
  <si>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</si>
  <si>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</si>
  <si>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</si>
  <si>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</si>
  <si>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</si>
  <si>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</si>
  <si>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</si>
  <si>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</si>
  <si>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</si>
  <si>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</si>
  <si>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</si>
  <si>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</si>
  <si>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</si>
  <si>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</si>
  <si>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</si>
  <si>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</si>
  <si>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</si>
  <si>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</si>
  <si>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</si>
  <si>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</si>
  <si>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</si>
  <si>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</si>
  <si>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</si>
  <si>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</si>
  <si>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</si>
  <si>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</si>
  <si>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</si>
  <si>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</si>
  <si>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</si>
  <si>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</si>
  <si>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</si>
  <si>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</si>
  <si>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</si>
  <si>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</si>
  <si>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</si>
  <si>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</si>
  <si>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</si>
  <si>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</si>
  <si>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</si>
  <si>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</si>
  <si>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</si>
  <si>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</si>
  <si>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</si>
  <si>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</si>
  <si>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</si>
  <si>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</si>
  <si>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</si>
  <si>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</si>
  <si>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</si>
  <si>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</si>
  <si>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</si>
  <si>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</si>
  <si>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</si>
  <si>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</si>
  <si>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</si>
  <si>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</si>
  <si>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</si>
  <si>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</si>
  <si>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</si>
  <si>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</si>
  <si>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</si>
  <si>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</si>
  <si>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</si>
  <si>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</si>
  <si>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</si>
  <si>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</si>
  <si>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</si>
  <si>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</si>
  <si>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</si>
  <si>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</si>
  <si>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</si>
  <si>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</si>
  <si>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</si>
  <si>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</si>
  <si>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Autorizado na via as 09:43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</si>
  <si>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</si>
  <si>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</si>
  <si>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</si>
  <si>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</si>
  <si>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</si>
  <si>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</si>
  <si>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</si>
  <si>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</si>
  <si>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</si>
  <si>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</si>
  <si>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</si>
  <si>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</si>
  <si>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</si>
  <si>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</si>
  <si>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</si>
  <si>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</si>
  <si>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</si>
  <si>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</si>
  <si>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</si>
  <si>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</si>
  <si>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</si>
  <si>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</si>
  <si>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</si>
  <si>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</si>
  <si>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</si>
  <si>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</si>
  <si>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</si>
  <si>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</si>
  <si>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</si>
  <si>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</si>
  <si>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</si>
  <si>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</si>
  <si>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</si>
  <si>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</si>
  <si>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</si>
  <si>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</si>
  <si>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</si>
  <si>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</si>
  <si>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</si>
  <si>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</si>
  <si>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Amauri</t>
  </si>
  <si>
    <t>Troca de dormentes em ponte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</si>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</sst>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164" fontId="0" fillId="0" borderId="0" xfId="0" quotePrefix="1" applyNumberFormat="1"/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G22" activePane="topRight" state="frozen"/>
      <selection pane="topRight" activeCell="H30" sqref="H3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7" t="s">
        <v>1132</v>
      </c>
      <c r="AJ1" s="218"/>
      <c r="AK1" s="218"/>
      <c r="AL1" s="218"/>
      <c r="AM1" s="218"/>
      <c r="AN1" s="218"/>
      <c r="AO1" s="218"/>
      <c r="AP1" s="218"/>
      <c r="AQ1" s="218"/>
      <c r="AR1" s="219"/>
      <c r="AS1" s="219"/>
      <c r="AT1" s="219"/>
      <c r="AU1" s="219"/>
      <c r="AV1" s="219"/>
      <c r="AW1" s="219"/>
      <c r="AX1" s="218"/>
      <c r="AY1" s="218"/>
      <c r="AZ1" s="218"/>
      <c r="BA1" s="218"/>
      <c r="BB1" s="218"/>
      <c r="BC1" s="218"/>
      <c r="BD1" s="218"/>
      <c r="BE1" s="218"/>
      <c r="BF1" s="220"/>
      <c r="BG1" s="3"/>
      <c r="BH1" s="221" t="s">
        <v>1133</v>
      </c>
      <c r="BI1" s="222"/>
      <c r="BJ1" s="223"/>
      <c r="BK1" s="224"/>
      <c r="BL1" s="43"/>
      <c r="BM1" s="214" t="s">
        <v>1134</v>
      </c>
      <c r="BN1" s="215"/>
      <c r="BO1" s="215"/>
      <c r="BP1" s="215"/>
      <c r="BQ1" s="215"/>
      <c r="BR1" s="215"/>
      <c r="BS1" s="21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7" t="s">
        <v>1135</v>
      </c>
      <c r="AJ2" s="218"/>
      <c r="AK2" s="218"/>
      <c r="AL2" s="218"/>
      <c r="AM2" s="218"/>
      <c r="AN2" s="218"/>
      <c r="AO2" s="218"/>
      <c r="AP2" s="218"/>
      <c r="AQ2" s="220"/>
      <c r="AR2" s="159"/>
      <c r="AS2" s="232" t="s">
        <v>1138</v>
      </c>
      <c r="AT2" s="219"/>
      <c r="AU2" s="219"/>
      <c r="AV2" s="219"/>
      <c r="AW2" s="219"/>
      <c r="AX2" s="218"/>
      <c r="AY2" s="220"/>
      <c r="AZ2" s="4"/>
      <c r="BA2" s="211" t="s">
        <v>1139</v>
      </c>
      <c r="BB2" s="213"/>
      <c r="BC2" s="217" t="s">
        <v>1136</v>
      </c>
      <c r="BD2" s="218"/>
      <c r="BE2" s="218"/>
      <c r="BF2" s="220"/>
      <c r="BG2" s="3"/>
      <c r="BH2" s="225"/>
      <c r="BI2" s="226"/>
      <c r="BJ2" s="227"/>
      <c r="BK2" s="228"/>
      <c r="BL2" s="43"/>
      <c r="BM2" s="229"/>
      <c r="BN2" s="230"/>
      <c r="BO2" s="230"/>
      <c r="BP2" s="230"/>
      <c r="BQ2" s="230"/>
      <c r="BR2" s="230"/>
      <c r="BS2" s="23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1" t="s">
        <v>1140</v>
      </c>
      <c r="AJ3" s="213"/>
      <c r="AK3" s="211" t="s">
        <v>1141</v>
      </c>
      <c r="AL3" s="212"/>
      <c r="AM3" s="212"/>
      <c r="AN3" s="212"/>
      <c r="AO3" s="212"/>
      <c r="AP3" s="212"/>
      <c r="AQ3" s="213"/>
      <c r="AR3" s="160"/>
      <c r="AS3" s="235" t="s">
        <v>1147</v>
      </c>
      <c r="AT3" s="236"/>
      <c r="AU3" s="235" t="s">
        <v>1148</v>
      </c>
      <c r="AV3" s="236"/>
      <c r="AW3" s="235" t="s">
        <v>1149</v>
      </c>
      <c r="AX3" s="237"/>
      <c r="AY3" s="57" t="s">
        <v>1150</v>
      </c>
      <c r="AZ3" s="57"/>
      <c r="BA3" s="233"/>
      <c r="BB3" s="234"/>
      <c r="BC3" s="211" t="s">
        <v>1143</v>
      </c>
      <c r="BD3" s="212"/>
      <c r="BE3" s="212"/>
      <c r="BF3" s="213"/>
      <c r="BG3" s="56"/>
      <c r="BH3" s="225"/>
      <c r="BI3" s="226"/>
      <c r="BJ3" s="227"/>
      <c r="BK3" s="228"/>
      <c r="BL3" s="43"/>
      <c r="BM3" s="214" t="s">
        <v>1151</v>
      </c>
      <c r="BN3" s="215"/>
      <c r="BO3" s="215"/>
      <c r="BP3" s="216"/>
      <c r="BQ3" s="214" t="s">
        <v>751</v>
      </c>
      <c r="BR3" s="215"/>
      <c r="BS3" s="216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>EngenhariaAtivo</v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5"/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str">
        <f>IF(AND(BR15&lt;1,BS15&lt;1),"Produção e Intervalo",IF(BR15&lt;1,"Intervalo",IF(BS15&lt;1,"Produção","Aderente")))</f>
        <v>Produção e Intervalo</v>
      </c>
      <c r="BR15" s="15">
        <f>IF(OR(B15="",F15=""),"*",AY15/P15)</f>
        <v>0</v>
      </c>
      <c r="BS15" s="15">
        <f>IF(OR(B15="",F15=""),"*",BA15/Q15)</f>
        <v>0</v>
      </c>
      <c r="BT15" s="157" t="str">
        <f t="shared" si="5"/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IF(D16="","*",IFERROR(IF(ISODD(COUNT(AS16:AX811)),"ERRO",SUM((AT16-AS16),(AV16-AU16),(AX16-AW16))),"ERRO"))</f>
        <v>8.3333333333333315E-2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0.99999999999999978</v>
      </c>
      <c r="BS16" s="15">
        <f>IF(OR(B16="",F16=""),"*",BA16/Q16)</f>
        <v>1</v>
      </c>
      <c r="BT16" s="157" t="str">
        <f t="shared" si="5"/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/>
      <c r="BN17" s="12"/>
      <c r="BO17" s="130"/>
      <c r="BP17" s="14"/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 t="shared" si="5"/>
        <v/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1258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1259</v>
      </c>
      <c r="W18" s="135" t="s">
        <v>1260</v>
      </c>
      <c r="X18" s="152" t="s">
        <v>966</v>
      </c>
      <c r="Y18" s="129" t="s">
        <v>969</v>
      </c>
      <c r="Z18" s="129"/>
      <c r="AA18" s="71" t="s">
        <v>1261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1262</v>
      </c>
      <c r="BK18" s="14" t="s">
        <v>1263</v>
      </c>
      <c r="BL18" s="13"/>
      <c r="BM18" s="12"/>
      <c r="BN18" s="12"/>
      <c r="BO18" s="130"/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</v>
      </c>
      <c r="BS18" s="15">
        <f>IF(OR(B18="",F18=""),"*",BA18/Q18)</f>
        <v>0</v>
      </c>
      <c r="BT18" s="157" t="str">
        <f t="shared" si="5"/>
        <v/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1264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IF(D19="","*",IFERROR(IF(ISODD(COUNT(AS19:AX814)),"ERRO",SUM((AT19-AS19),(AV19-AU19),(AX19-AW19))),"ERRO"))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1265</v>
      </c>
      <c r="BK19" s="14" t="s">
        <v>1266</v>
      </c>
      <c r="BL19" s="13"/>
      <c r="BM19" s="12" t="s">
        <v>986</v>
      </c>
      <c r="BN19" s="12" t="s">
        <v>1016</v>
      </c>
      <c r="BO19" s="130" t="s">
        <v>1068</v>
      </c>
      <c r="BP19" s="14" t="s">
        <v>1267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5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1268</v>
      </c>
      <c r="W20" s="135" t="s">
        <v>1269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1270</v>
      </c>
      <c r="BK20" s="14" t="s">
        <v>1271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1272</v>
      </c>
      <c r="BK21" s="14" t="s">
        <v>1273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0.99999999999999978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1274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1275</v>
      </c>
      <c r="W22" s="135" t="s">
        <v>1276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0.45833333333333331</v>
      </c>
      <c r="AU22" s="32"/>
      <c r="AV22" s="32"/>
      <c r="AW22" s="32"/>
      <c r="AX22" s="32"/>
      <c r="AY22" s="184">
        <f>IF(D22="","*",IFERROR(IF(ISODD(COUNT(AS22:AX816)),"ERRO",SUM((AT22-AS22),(AV22-AU22),(AX22-AW22))),"ERRO"))</f>
        <v>3.0555555555555558E-2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1277</v>
      </c>
      <c r="BK22" s="14" t="s">
        <v>1278</v>
      </c>
      <c r="BL22" s="13"/>
      <c r="BM22" s="12"/>
      <c r="BN22" s="12"/>
      <c r="BO22" s="130"/>
      <c r="BP22" s="14"/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0.24444444444444446</v>
      </c>
      <c r="BS22" s="15">
        <f>IF(OR(B22="",F22=""),"*",BA22/Q22)</f>
        <v>0</v>
      </c>
      <c r="BT22" s="157" t="str">
        <f t="shared" si="5"/>
        <v/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1279</v>
      </c>
      <c r="N23" s="151" t="s">
        <v>1280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1281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IF(D23="","*",IFERROR(IF(ISODD(COUNT(AS23:AX817)),"ERRO",SUM((AT23-AS23),(AV23-AU23),(AX23-AW23))),"ERRO"))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1282</v>
      </c>
      <c r="BK23" s="14" t="s">
        <v>1282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ref="AY22:AY71" si="6">IF(D24="","*",IFERROR(IF(ISODD(COUNT(AS24:AX818)),"ERRO",SUM((AT24-AS24),(AV24-AU24),(AX24-AW24))),"ERRO"))</f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>V8646084</v>
      </c>
      <c r="B27" s="133">
        <v>46084</v>
      </c>
      <c r="C27" s="7">
        <f>IF(BS_CONTROLE[[#This Row],[DATA]]="","",WEEKNUM(BS_CONTROLE[[#This Row],[DATA]]))</f>
        <v>10</v>
      </c>
      <c r="D27" s="45" t="s">
        <v>808</v>
      </c>
      <c r="E27" s="185">
        <v>21</v>
      </c>
      <c r="F27" s="134" t="s">
        <v>707</v>
      </c>
      <c r="G27" s="8" t="str">
        <f>IF(D27="","*",VLOOKUP(F27,BS_ATIVIDADE[#All],3,FALSE))</f>
        <v>MECANIZAÇÃO - SOCADORA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M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MECANIZAÇÃO - SOCADORA</v>
      </c>
      <c r="AJ27" s="8" t="str">
        <f>IF(D27="","*",VLOOKUP(AI27,BS_ATIVIDADE[#Data],3,FALSE))</f>
        <v>MECANIZAÇÃO - SOCADORA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6"/>
        <v>0</v>
      </c>
      <c r="AZ27" s="11"/>
      <c r="BA27" s="60"/>
      <c r="BB27" s="9" t="str">
        <f>IFERROR(_xlfn.XLOOKUP(AI27, BS_ATIVIDADE[ATIVIDADE],BS_ATIVIDADE[UNIDADE] ), "*")</f>
        <v>M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e">
        <f t="shared" si="2"/>
        <v>#DIV/0!</v>
      </c>
      <c r="BR27" s="15" t="e">
        <f t="shared" si="3"/>
        <v>#DIV/0!</v>
      </c>
      <c r="BS27" s="15" t="e">
        <f t="shared" si="4"/>
        <v>#DIV/0!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>V7746084</v>
      </c>
      <c r="B31" s="133">
        <v>46084</v>
      </c>
      <c r="C31" s="7">
        <f>IF(BS_CONTROLE[[#This Row],[DATA]]="","",WEEKNUM(BS_CONTROLE[[#This Row],[DATA]]))</f>
        <v>10</v>
      </c>
      <c r="D31" s="45" t="s">
        <v>798</v>
      </c>
      <c r="E31" s="185">
        <v>25</v>
      </c>
      <c r="F31" s="134" t="s">
        <v>675</v>
      </c>
      <c r="G31" s="8" t="str">
        <f>IF(D31="","*",VLOOKUP(F31,BS_ATIVIDADE[#All],3,FALSE))</f>
        <v>OUTROS</v>
      </c>
      <c r="H31" s="135" t="s">
        <v>203</v>
      </c>
      <c r="I31" s="135" t="s">
        <v>232</v>
      </c>
      <c r="J31" s="151">
        <v>98</v>
      </c>
      <c r="K31" s="151">
        <v>615.5</v>
      </c>
      <c r="L31" s="71">
        <v>750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1" s="135"/>
      <c r="P31" s="135"/>
      <c r="Q31" s="71"/>
      <c r="R31" s="9" t="str">
        <f>IFERROR(_xlfn.XLOOKUP(F31, BS_ATIVIDADE[ATIVIDADE],BS_ATIVIDADE[UNIDADE] ), "*")</f>
        <v>BINÁRIO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BASE_MAPA!$B$2:$B$408, BASE_MAPA!$G$2:$G$408), "ERRO")</f>
        <v>ALTO ARAGUAIA - RONDONOPOLIS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INSPEÇÃO AUTO DE LINHA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TRO</v>
      </c>
      <c r="AM31" s="175" t="str">
        <f>IF(BS_CONTROLE[[#This Row],[Entre - Estações]]=0, "-", BS_CONTROLE[[#This Row],[Entre - Estações]])</f>
        <v>TIQ</v>
      </c>
      <c r="AN31" s="175" t="str">
        <f>IF(BS_CONTROLE[[#This Row],[SB]]=0, "-", BS_CONTROLE[[#This Row],[SB]])</f>
        <v>TIQ1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615.5</v>
      </c>
      <c r="AQ31" s="177">
        <f>IF(BS_CONTROLE[[#This Row],[KM - Fim]]=0, "-", BS_CONTROLE[[#This Row],[KM - Fim]])</f>
        <v>750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ERRO</v>
      </c>
      <c r="AZ31" s="11"/>
      <c r="BA31" s="60"/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BASE_MAPA!$B$2:$B$408, BASE_MAPA!$G$2:$G$408), "ERRO")</f>
        <v>ALTO ARAGUAIA - RONDONOPOLIS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e">
        <f t="shared" si="2"/>
        <v>#VALUE!</v>
      </c>
      <c r="BR31" s="15" t="e">
        <f t="shared" si="3"/>
        <v>#VALUE!</v>
      </c>
      <c r="BS31" s="15" t="e">
        <f t="shared" si="4"/>
        <v>#DIV/0!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>ELSON (TF-526)46084</v>
      </c>
      <c r="B34" s="133">
        <v>46084</v>
      </c>
      <c r="C34" s="7">
        <f>IF(BS_CONTROLE[[#This Row],[DATA]]="","",WEEKNUM(BS_CONTROLE[[#This Row],[DATA]]))</f>
        <v>10</v>
      </c>
      <c r="D34" s="45" t="s">
        <v>894</v>
      </c>
      <c r="E34" s="185">
        <v>28</v>
      </c>
      <c r="F34" s="134" t="s">
        <v>784</v>
      </c>
      <c r="G34" s="8" t="str">
        <f>IF(D34="","*",VLOOKUP(F34,BS_ATIVIDADE[#All],3,FALSE))</f>
        <v>SOLDA</v>
      </c>
      <c r="H34" s="14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4" s="135" t="s">
        <v>602</v>
      </c>
      <c r="J34" s="151">
        <v>74</v>
      </c>
      <c r="K34" s="151">
        <v>400.29</v>
      </c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4" s="135">
        <v>0.41666666666666669</v>
      </c>
      <c r="P34" s="135">
        <v>8.3333333333333329E-2</v>
      </c>
      <c r="Q34" s="71">
        <v>2</v>
      </c>
      <c r="R34" s="9" t="str">
        <f>IFERROR(_xlfn.XLOOKUP(F34, BS_ATIVIDADE[ATIVIDADE],BS_ATIVIDADE[UNIDADE] ), "*")</f>
        <v>Nº DE SOLDA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" s="199" t="str">
        <f>IFERROR(_xlfn.XLOOKUP(J34, BASE_MAPA!$B$2:$B$408, BASE_MAPA!$G$2:$G$408), "ERRO")</f>
        <v>MARCO INICIAL - ALTO ARAGUAIA</v>
      </c>
      <c r="V34" s="143" t="s">
        <v>1249</v>
      </c>
      <c r="W34" s="135" t="s">
        <v>1224</v>
      </c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TIP1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TIP</v>
      </c>
      <c r="AN34" s="175" t="str">
        <f>IF(BS_CONTROLE[[#This Row],[SB]]=0, "-", BS_CONTROLE[[#This Row],[SB]])</f>
        <v>TIP1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400.29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 t="shared" si="6"/>
        <v>0</v>
      </c>
      <c r="AZ34" s="11"/>
      <c r="BA34" s="60"/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BASE_MAPA!$B$2:$B$408, BASE_MAPA!$G$2:$G$408),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Produção e Intervalo</v>
      </c>
      <c r="BR34" s="15">
        <f t="shared" si="3"/>
        <v>0</v>
      </c>
      <c r="BS34" s="15">
        <f t="shared" si="4"/>
        <v>0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>AMAURI (TF-515)46084</v>
      </c>
      <c r="B37" s="133">
        <v>46084</v>
      </c>
      <c r="C37" s="7">
        <f>IF(BS_CONTROLE[[#This Row],[DATA]]="","",WEEKNUM(BS_CONTROLE[[#This Row],[DATA]]))</f>
        <v>10</v>
      </c>
      <c r="D37" s="45" t="s">
        <v>862</v>
      </c>
      <c r="E37" s="185">
        <v>31</v>
      </c>
      <c r="F37" s="134" t="s">
        <v>771</v>
      </c>
      <c r="G37" s="8" t="str">
        <f>IF(D37="","*",VLOOKUP(F37,BS_ATIVIDADE[#All],3,FALSE))</f>
        <v>DORMENTE - PONTE</v>
      </c>
      <c r="H37" s="135" t="s">
        <v>115</v>
      </c>
      <c r="I37" s="135" t="s">
        <v>602</v>
      </c>
      <c r="J37" s="151">
        <v>74</v>
      </c>
      <c r="K37" s="151">
        <v>338.2</v>
      </c>
      <c r="L37" s="71">
        <v>338.32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7" s="135">
        <v>0.41666666666666669</v>
      </c>
      <c r="P37" s="135">
        <v>8.3333333333333329E-2</v>
      </c>
      <c r="Q37" s="71">
        <v>15</v>
      </c>
      <c r="R37" s="9" t="str">
        <f>IFERROR(_xlfn.XLOOKUP(F37, BS_ATIVIDADE[ATIVIDADE],BS_ATIVIDADE[UNIDADE] ), "*")</f>
        <v>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199" t="str">
        <f>IFERROR(_xlfn.XLOOKUP(J37, BASE_MAPA!$B$2:$B$408, BASE_MAPA!$G$2:$G$408), "ERRO")</f>
        <v>MARCO INICIAL - ALTO ARAGUAIA</v>
      </c>
      <c r="V37" s="143" t="s">
        <v>1283</v>
      </c>
      <c r="W37" s="135" t="s">
        <v>1284</v>
      </c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PDM - DORMENTE - PONTE</v>
      </c>
      <c r="AJ37" s="8" t="str">
        <f>IF(D37="","*",VLOOKUP(AI37,BS_ATIVIDADE[#Data],3,FALSE))</f>
        <v>DORMENTE - PONTE</v>
      </c>
      <c r="AK37" s="175" t="str">
        <f>IF(BS_CONTROLE[[#This Row],[Local - Partida]]=0, "-", BS_CONTROLE[[#This Row],[Local - Partida]])</f>
        <v>TLA1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TLA</v>
      </c>
      <c r="AN37" s="175" t="str">
        <f>IF(BS_CONTROLE[[#This Row],[SB]]=0, "-", BS_CONTROLE[[#This Row],[SB]])</f>
        <v>TLA1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338.2</v>
      </c>
      <c r="AQ37" s="177">
        <f>IF(BS_CONTROLE[[#This Row],[KM - Fim]]=0, "-", BS_CONTROLE[[#This Row],[KM - Fim]])</f>
        <v>338.32</v>
      </c>
      <c r="AR37" s="32"/>
      <c r="AS37" s="32"/>
      <c r="AT37" s="32"/>
      <c r="AU37" s="32"/>
      <c r="AV37" s="32"/>
      <c r="AW37" s="32"/>
      <c r="AX37" s="32"/>
      <c r="AY37" s="184">
        <f t="shared" si="6"/>
        <v>0</v>
      </c>
      <c r="AZ37" s="11"/>
      <c r="BA37" s="60"/>
      <c r="BB37" s="9" t="str">
        <f>IFERROR(_xlfn.XLOOKUP(AI37, BS_ATIVIDADE[ATIVIDADE],BS_ATIVIDADE[UNIDADE] ), "*")</f>
        <v>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200" t="str">
        <f>IFERROR(_xlfn.XLOOKUP(AO37, BASE_MAPA!$B$2:$B$408, BASE_MAPA!$G$2:$G$408), "ERRO")</f>
        <v>MARCO INICIAL - ALTO ARAGUAIA</v>
      </c>
      <c r="BF37" s="178" t="str">
        <f>IF(BS_CONTROLE[[#This Row],[Responsavel pelo boletim]]=0, "-", BS_CONTROLE[[#This Row],[Responsavel pelo boletim]])</f>
        <v>Amauri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Produção e Intervalo</v>
      </c>
      <c r="BR37" s="15">
        <f t="shared" si="3"/>
        <v>0</v>
      </c>
      <c r="BS37" s="15">
        <f t="shared" si="4"/>
        <v>0</v>
      </c>
      <c r="BT37" s="157" t="str">
        <f t="shared" si="5"/>
        <v/>
      </c>
    </row>
    <row r="38" spans="1:72">
      <c r="A38" s="44" t="str">
        <f t="shared" si="1"/>
        <v>BRUNO (TF-525)46084</v>
      </c>
      <c r="B38" s="133">
        <v>46084</v>
      </c>
      <c r="C38" s="7">
        <f>IF(BS_CONTROLE[[#This Row],[DATA]]="","",WEEKNUM(BS_CONTROLE[[#This Row],[DATA]]))</f>
        <v>10</v>
      </c>
      <c r="D38" s="45" t="s">
        <v>869</v>
      </c>
      <c r="E38" s="185">
        <v>32</v>
      </c>
      <c r="F38" s="134" t="s">
        <v>784</v>
      </c>
      <c r="G38" s="8" t="str">
        <f>IF(D38="","*",VLOOKUP(F38,BS_ATIVIDADE[#All],3,FALSE))</f>
        <v>SOLDA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Nº DE SOLDA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SOLDA</v>
      </c>
      <c r="AJ38" s="8" t="str">
        <f>IF(D38="","*",VLOOKUP(AI38,BS_ATIVIDADE[#Data],3,FALSE))</f>
        <v>SOLDA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>
        <f t="shared" si="6"/>
        <v>0</v>
      </c>
      <c r="AZ38" s="11"/>
      <c r="BA38" s="60"/>
      <c r="BB38" s="9" t="str">
        <f>IFERROR(_xlfn.XLOOKUP(AI38, BS_ATIVIDADE[ATIVIDADE],BS_ATIVIDADE[UNIDADE] ), "*")</f>
        <v>Nº DE SOLDA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e">
        <f t="shared" si="2"/>
        <v>#DIV/0!</v>
      </c>
      <c r="BR38" s="15" t="e">
        <f t="shared" si="3"/>
        <v>#DIV/0!</v>
      </c>
      <c r="BS38" s="15" t="e">
        <f t="shared" si="4"/>
        <v>#DIV/0!</v>
      </c>
      <c r="BT38" s="157" t="str">
        <f t="shared" si="5"/>
        <v/>
      </c>
    </row>
    <row r="39" spans="1:72">
      <c r="A39" s="44" t="str">
        <f t="shared" si="1"/>
        <v>MARCOS (TF-520)46084</v>
      </c>
      <c r="B39" s="133">
        <v>46084</v>
      </c>
      <c r="C39" s="7">
        <f>IF(BS_CONTROLE[[#This Row],[DATA]]="","",WEEKNUM(BS_CONTROLE[[#This Row],[DATA]]))</f>
        <v>10</v>
      </c>
      <c r="D39" s="45" t="s">
        <v>925</v>
      </c>
      <c r="E39" s="185">
        <v>33</v>
      </c>
      <c r="F39" s="134" t="s">
        <v>784</v>
      </c>
      <c r="G39" s="8" t="str">
        <f>IF(D39="","*",VLOOKUP(F39,BS_ATIVIDADE[#All],3,FALSE))</f>
        <v>SOLDA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Nº DE SOLDA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PDM - SOLDA</v>
      </c>
      <c r="AJ39" s="8" t="str">
        <f>IF(D39="","*",VLOOKUP(AI39,BS_ATIVIDADE[#Data],3,FALSE))</f>
        <v>SOLDA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>
        <f t="shared" si="6"/>
        <v>0</v>
      </c>
      <c r="AZ39" s="11"/>
      <c r="BA39" s="60"/>
      <c r="BB39" s="9" t="str">
        <f>IFERROR(_xlfn.XLOOKUP(AI39, BS_ATIVIDADE[ATIVIDADE],BS_ATIVIDADE[UNIDADE] ), "*")</f>
        <v>Nº DE SOLDA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e">
        <f t="shared" si="2"/>
        <v>#DIV/0!</v>
      </c>
      <c r="BR39" s="15" t="e">
        <f t="shared" si="3"/>
        <v>#DIV/0!</v>
      </c>
      <c r="BS39" s="15" t="e">
        <f t="shared" si="4"/>
        <v>#DIV/0!</v>
      </c>
      <c r="BT39" s="157" t="str">
        <f t="shared" si="5"/>
        <v/>
      </c>
    </row>
    <row r="40" spans="1:72">
      <c r="A40" s="44" t="str">
        <f t="shared" si="1"/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774</v>
      </c>
      <c r="E40" s="185">
        <v>34</v>
      </c>
      <c r="F40" s="134" t="s">
        <v>733</v>
      </c>
      <c r="G40" s="8" t="str">
        <f>IF(D40="","*",VLOOKUP(F40,BS_ATIVIDADE[#All],3,FALSE))</f>
        <v>MODERNIZAÇÃO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>
        <f t="shared" si="6"/>
        <v>0</v>
      </c>
      <c r="AZ40" s="11"/>
      <c r="BA40" s="60"/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e">
        <f t="shared" si="2"/>
        <v>#DIV/0!</v>
      </c>
      <c r="BR40" s="15" t="e">
        <f t="shared" si="3"/>
        <v>#DIV/0!</v>
      </c>
      <c r="BS40" s="15" t="e">
        <f t="shared" si="4"/>
        <v>#DIV/0!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4" spans="1:72">
      <c r="AT804" s="255" t="s">
        <v>1285</v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2" operator="equal">
      <formula>"ERRO"</formula>
    </cfRule>
  </conditionalFormatting>
  <conditionalFormatting sqref="X4 Y1:Z801">
    <cfRule type="cellIs" dxfId="120" priority="18471" operator="equal">
      <formula>"OPORTUNIDADE"</formula>
    </cfRule>
  </conditionalFormatting>
  <conditionalFormatting sqref="AZ6:AZ801">
    <cfRule type="expression" dxfId="119" priority="18466">
      <formula>$BU6=1</formula>
    </cfRule>
  </conditionalFormatting>
  <conditionalFormatting sqref="BQ6:BQ801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1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1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4:Y1048576">
    <cfRule type="cellIs" dxfId="108" priority="18288" operator="equal">
      <formula>"OPORTUNIDADE"</formula>
    </cfRule>
  </conditionalFormatting>
  <conditionalFormatting sqref="Y1047864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4:BK801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4:BJ801 BJ23:BK23 BK14 BK17:BK18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1 BO6:BO16 BO18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 BO21 BN17:BO17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16 BN18:BN801" xr:uid="{88B2AA1F-3AB2-4B37-8132-5DEC08D79A48}">
      <formula1>INDIRECT(SUBSTITUTE(BM6," ",""))</formula1>
    </dataValidation>
    <dataValidation type="list" allowBlank="1" showInputMessage="1" showErrorMessage="1" sqref="BO22:BO801 BO6:BO16 BO18:BO20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8" t="s">
        <v>1286</v>
      </c>
      <c r="D1" s="238"/>
      <c r="E1" s="238"/>
      <c r="F1" s="238"/>
      <c r="G1" s="238"/>
      <c r="H1" s="238"/>
    </row>
    <row r="2" spans="3:8">
      <c r="C2" s="238"/>
      <c r="D2" s="238"/>
      <c r="E2" s="238"/>
      <c r="F2" s="238"/>
      <c r="G2" s="238"/>
      <c r="H2" s="238"/>
    </row>
    <row r="3" spans="3:8">
      <c r="C3" s="186" t="s">
        <v>695</v>
      </c>
      <c r="D3" s="186" t="s">
        <v>1287</v>
      </c>
      <c r="E3" s="186" t="s">
        <v>1288</v>
      </c>
      <c r="F3" s="186" t="s">
        <v>1289</v>
      </c>
      <c r="G3" s="186" t="s">
        <v>1290</v>
      </c>
      <c r="H3" s="186" t="s">
        <v>1291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1292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1293</v>
      </c>
      <c r="D10" s="187">
        <v>9049</v>
      </c>
      <c r="E10" s="188">
        <v>46044</v>
      </c>
      <c r="F10" s="187" t="s">
        <v>1294</v>
      </c>
      <c r="G10" s="187" t="s">
        <v>1295</v>
      </c>
      <c r="H10" s="187"/>
    </row>
    <row r="11" spans="3:8">
      <c r="C11" s="187" t="s">
        <v>1293</v>
      </c>
      <c r="D11" s="187">
        <v>9044</v>
      </c>
      <c r="E11" s="188">
        <v>46044</v>
      </c>
      <c r="F11" s="187" t="s">
        <v>1296</v>
      </c>
      <c r="G11" s="187" t="s">
        <v>1297</v>
      </c>
      <c r="H11" s="187"/>
    </row>
    <row r="12" spans="3:8">
      <c r="C12" s="187" t="s">
        <v>1293</v>
      </c>
      <c r="D12" s="187">
        <v>762</v>
      </c>
      <c r="E12" s="188">
        <v>46044</v>
      </c>
      <c r="F12" s="187" t="s">
        <v>1298</v>
      </c>
      <c r="G12" s="187" t="s">
        <v>1297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9" t="s">
        <v>1299</v>
      </c>
      <c r="C2" s="239"/>
      <c r="D2" s="239"/>
      <c r="E2" s="239"/>
      <c r="F2" s="239"/>
      <c r="G2" s="239"/>
    </row>
    <row r="3" spans="2:7">
      <c r="B3" s="240"/>
      <c r="C3" s="240"/>
      <c r="D3" s="240"/>
      <c r="E3" s="240"/>
      <c r="F3" s="240"/>
      <c r="G3" s="240"/>
    </row>
    <row r="4" spans="2:7" ht="40.5">
      <c r="B4" s="191" t="s">
        <v>1300</v>
      </c>
      <c r="C4" s="191" t="s">
        <v>1301</v>
      </c>
      <c r="D4" s="191" t="s">
        <v>1302</v>
      </c>
      <c r="E4" s="191" t="s">
        <v>1303</v>
      </c>
      <c r="F4" s="191" t="s">
        <v>4</v>
      </c>
      <c r="G4" s="191" t="s">
        <v>1304</v>
      </c>
    </row>
    <row r="5" spans="2:7">
      <c r="B5" s="192" t="s">
        <v>1305</v>
      </c>
      <c r="C5" s="192">
        <v>309525</v>
      </c>
      <c r="D5" s="192" t="s">
        <v>1306</v>
      </c>
      <c r="E5" s="192" t="s">
        <v>840</v>
      </c>
      <c r="F5" s="192" t="s">
        <v>1307</v>
      </c>
      <c r="G5" s="193">
        <v>46296</v>
      </c>
    </row>
    <row r="6" spans="2:7">
      <c r="B6" s="192" t="s">
        <v>1308</v>
      </c>
      <c r="C6" s="192">
        <v>257410</v>
      </c>
      <c r="D6" s="192" t="s">
        <v>1309</v>
      </c>
      <c r="E6" s="192" t="s">
        <v>840</v>
      </c>
      <c r="F6" s="192" t="s">
        <v>1307</v>
      </c>
      <c r="G6" s="193"/>
    </row>
    <row r="7" spans="2:7">
      <c r="B7" s="192" t="s">
        <v>1255</v>
      </c>
      <c r="C7" s="192">
        <v>256875</v>
      </c>
      <c r="D7" s="192" t="s">
        <v>1310</v>
      </c>
      <c r="E7" s="192" t="s">
        <v>840</v>
      </c>
      <c r="F7" s="192" t="s">
        <v>1307</v>
      </c>
      <c r="G7" s="193">
        <v>46296</v>
      </c>
    </row>
    <row r="8" spans="2:7">
      <c r="B8" s="192" t="s">
        <v>1311</v>
      </c>
      <c r="C8" s="192">
        <v>257278</v>
      </c>
      <c r="D8" s="192" t="s">
        <v>1312</v>
      </c>
      <c r="E8" s="192" t="s">
        <v>831</v>
      </c>
      <c r="F8" s="192" t="s">
        <v>1313</v>
      </c>
      <c r="G8" s="193">
        <v>46235</v>
      </c>
    </row>
    <row r="9" spans="2:7">
      <c r="B9" s="192" t="s">
        <v>1314</v>
      </c>
      <c r="C9" s="192">
        <v>261794</v>
      </c>
      <c r="D9" s="192" t="s">
        <v>1315</v>
      </c>
      <c r="E9" s="192" t="s">
        <v>831</v>
      </c>
      <c r="F9" s="192" t="s">
        <v>1313</v>
      </c>
      <c r="G9" s="193">
        <v>46082</v>
      </c>
    </row>
    <row r="10" spans="2:7">
      <c r="B10" s="192" t="s">
        <v>1316</v>
      </c>
      <c r="C10" s="192">
        <v>257033</v>
      </c>
      <c r="D10" s="192" t="s">
        <v>1317</v>
      </c>
      <c r="E10" s="192" t="s">
        <v>831</v>
      </c>
      <c r="F10" s="192" t="s">
        <v>21</v>
      </c>
      <c r="G10" s="192" t="s">
        <v>1318</v>
      </c>
    </row>
    <row r="11" spans="2:7">
      <c r="B11" s="192" t="s">
        <v>1319</v>
      </c>
      <c r="C11" s="192">
        <v>396578</v>
      </c>
      <c r="D11" s="192" t="s">
        <v>1320</v>
      </c>
      <c r="E11" s="192" t="s">
        <v>831</v>
      </c>
      <c r="F11" s="192" t="s">
        <v>21</v>
      </c>
      <c r="G11" s="192" t="s">
        <v>1318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1321</v>
      </c>
      <c r="C2" s="83" t="s">
        <v>1157</v>
      </c>
      <c r="D2" s="83" t="s">
        <v>1159</v>
      </c>
      <c r="E2" s="83" t="s">
        <v>1322</v>
      </c>
      <c r="F2" s="83" t="s">
        <v>1323</v>
      </c>
      <c r="G2" s="83" t="s">
        <v>1324</v>
      </c>
      <c r="H2" s="83" t="s">
        <v>1325</v>
      </c>
      <c r="I2" s="83" t="s">
        <v>1326</v>
      </c>
      <c r="J2" s="83" t="s">
        <v>1327</v>
      </c>
      <c r="K2" s="109" t="s">
        <v>1328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>
        <f>IF(FN_MC!B27="","*",FN_MC!B27)</f>
        <v>46084</v>
      </c>
      <c r="D23" s="101" t="str">
        <f>IF(FN_MC!D27="","*",FN_MC!D27)</f>
        <v>V86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>
        <f>IF(FN_MC!B31="","*",FN_MC!B31)</f>
        <v>46084</v>
      </c>
      <c r="D27" s="101" t="str">
        <f>IF(FN_MC!D31="","*",FN_MC!D31)</f>
        <v>V77</v>
      </c>
      <c r="E27" s="101" t="str">
        <f>IF(FN_MC!H31="","*",FN_MC!H31)</f>
        <v>TIQ2</v>
      </c>
      <c r="F27" s="114" t="str">
        <f>IF(FN_MC!M31="","*",FN_MC!M31)</f>
        <v>TIQ</v>
      </c>
      <c r="G27" s="101" t="str">
        <f>IF(FN_MC!I31="","*",FN_MC!I31)</f>
        <v>TRO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>
        <f>IF(FN_MC!B34="","*",FN_MC!B34)</f>
        <v>46084</v>
      </c>
      <c r="D30" s="101" t="str">
        <f>IF(FN_MC!D34="","*",FN_MC!D34)</f>
        <v>ELSON (TF-526)</v>
      </c>
      <c r="E30" s="101" t="str">
        <f>IF(FN_MC!H34="","*",FN_MC!H34)</f>
        <v>TIP1</v>
      </c>
      <c r="F30" s="114" t="str">
        <f>IF(FN_MC!M34="","*",FN_MC!M34)</f>
        <v>TIP</v>
      </c>
      <c r="G30" s="101" t="str">
        <f>IF(FN_MC!I34="","*",FN_MC!I34)</f>
        <v>-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>
        <f>IF(FN_MC!B37="","*",FN_MC!B37)</f>
        <v>46084</v>
      </c>
      <c r="D33" s="101" t="str">
        <f>IF(FN_MC!D37="","*",FN_MC!D37)</f>
        <v>AMAURI (TF-515)</v>
      </c>
      <c r="E33" s="101" t="str">
        <f>IF(FN_MC!H37="","*",FN_MC!H37)</f>
        <v>TLA1</v>
      </c>
      <c r="F33" s="114" t="str">
        <f>IF(FN_MC!M37="","*",FN_MC!M37)</f>
        <v>TLA</v>
      </c>
      <c r="G33" s="101" t="str">
        <f>IF(FN_MC!I37="","*",FN_MC!I37)</f>
        <v>-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>
        <f>IF(FN_MC!B38="","*",FN_MC!B38)</f>
        <v>46084</v>
      </c>
      <c r="D34" s="101" t="str">
        <f>IF(FN_MC!D38="","*",FN_MC!D38)</f>
        <v>BRUNO (TF-525)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>
        <f>IF(FN_MC!B39="","*",FN_MC!B39)</f>
        <v>46084</v>
      </c>
      <c r="D35" s="101" t="str">
        <f>IF(FN_MC!D39="","*",FN_MC!D39)</f>
        <v>MARCOS (TF-520)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>
        <f>IF(FN_MC!B40="","*",FN_MC!B40)</f>
        <v>46084</v>
      </c>
      <c r="D36" s="101" t="str">
        <f>IF(FN_MC!D40="","*",FN_MC!D40)</f>
        <v>V48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1"/>
      <c r="B1" s="242"/>
      <c r="C1" s="24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4" t="s">
        <v>1220</v>
      </c>
      <c r="Q1" s="245"/>
      <c r="R1" s="88"/>
      <c r="S1" s="88"/>
      <c r="T1" s="89"/>
      <c r="U1" s="246" t="s">
        <v>1329</v>
      </c>
      <c r="V1" s="246"/>
      <c r="W1" s="24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1330</v>
      </c>
      <c r="B2" s="91" t="s">
        <v>1331</v>
      </c>
      <c r="C2" s="91" t="s">
        <v>598</v>
      </c>
      <c r="D2" s="92" t="s">
        <v>1172</v>
      </c>
      <c r="E2" s="92" t="s">
        <v>4</v>
      </c>
      <c r="F2" s="92" t="s">
        <v>1332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1333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>
        <f>IF(FN_MC!B27="","*",FN_MC!B27)</f>
        <v>46084</v>
      </c>
      <c r="G24" s="96" t="str">
        <f>IF(FN_MC!D27="","*",FN_MC!D27)</f>
        <v>V86</v>
      </c>
      <c r="H24" s="96" t="str">
        <f>IF(FN_MC!F27="","*",FN_MC!F27)</f>
        <v>MECANIZAÇÃO - SOCADORA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46084</v>
      </c>
      <c r="G28" s="96" t="str">
        <f>IF(FN_MC!D31="","*",FN_MC!D31)</f>
        <v>V77</v>
      </c>
      <c r="H28" s="96" t="str">
        <f>IF(FN_MC!F31="","*",FN_MC!F31)</f>
        <v>INSPEÇÃO AUTO DE LINHA</v>
      </c>
      <c r="I28" s="96" t="str">
        <f>IF(FN_MC!H31="","*",FN_MC!H31)</f>
        <v>TIQ2</v>
      </c>
      <c r="J28" s="96" t="str">
        <f>IF(FN_MC!I31="","*",FN_MC!I31)</f>
        <v>TRO</v>
      </c>
      <c r="K28" s="96" t="str">
        <f>IF(FN_MC!M31="","*",FN_MC!M31)</f>
        <v>TIQ</v>
      </c>
      <c r="L28" s="196" t="str">
        <f>IF(FN_MC!N31="","*",FN_MC!N31)</f>
        <v>TIQ1</v>
      </c>
      <c r="M28" s="97">
        <f>IF(FN_MC!J31="","*",FN_MC!J31)</f>
        <v>98</v>
      </c>
      <c r="N28" s="183">
        <f>IF(FN_MC!K31="","*",FN_MC!K31)</f>
        <v>615.5</v>
      </c>
      <c r="O28" s="183">
        <f>IF(FN_MC!L31="","*",FN_MC!L31)</f>
        <v>750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46084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TIP1</v>
      </c>
      <c r="J31" s="96" t="str">
        <f>IF(FN_MC!I34="","*",FN_MC!I34)</f>
        <v>-</v>
      </c>
      <c r="K31" s="96" t="str">
        <f>IF(FN_MC!M34="","*",FN_MC!M34)</f>
        <v>TIP</v>
      </c>
      <c r="L31" s="196" t="str">
        <f>IF(FN_MC!N34="","*",FN_MC!N34)</f>
        <v>TIP1</v>
      </c>
      <c r="M31" s="97">
        <f>IF(FN_MC!J34="","*",FN_MC!J34)</f>
        <v>74</v>
      </c>
      <c r="N31" s="183">
        <f>IF(FN_MC!K34="","*",FN_MC!K34)</f>
        <v>400.29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8.3333333333333329E-2</v>
      </c>
      <c r="R31" s="96" t="str">
        <f>IF(FN_MC!Q34="","*",CONCATENATE(FN_MC!Q34," ",FN_MC!R34))</f>
        <v>2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TCS-TGR</v>
      </c>
      <c r="F34" s="96">
        <f>IF(FN_MC!B37="","*",FN_MC!B37)</f>
        <v>46084</v>
      </c>
      <c r="G34" s="96" t="str">
        <f>IF(FN_MC!D37="","*",FN_MC!D37)</f>
        <v>AMAURI (TF-515)</v>
      </c>
      <c r="H34" s="96" t="str">
        <f>IF(FN_MC!F37="","*",FN_MC!F37)</f>
        <v>PDM - DORMENTE - PONTE</v>
      </c>
      <c r="I34" s="96" t="str">
        <f>IF(FN_MC!H37="","*",FN_MC!H37)</f>
        <v>TLA1</v>
      </c>
      <c r="J34" s="96" t="str">
        <f>IF(FN_MC!I37="","*",FN_MC!I37)</f>
        <v>-</v>
      </c>
      <c r="K34" s="96" t="str">
        <f>IF(FN_MC!M37="","*",FN_MC!M37)</f>
        <v>TLA</v>
      </c>
      <c r="L34" s="196" t="str">
        <f>IF(FN_MC!N37="","*",FN_MC!N37)</f>
        <v>TLA1</v>
      </c>
      <c r="M34" s="97">
        <f>IF(FN_MC!J37="","*",FN_MC!J37)</f>
        <v>74</v>
      </c>
      <c r="N34" s="183">
        <f>IF(FN_MC!K37="","*",FN_MC!K37)</f>
        <v>338.2</v>
      </c>
      <c r="O34" s="183">
        <f>IF(FN_MC!L37="","*",FN_MC!L37)</f>
        <v>338.32</v>
      </c>
      <c r="P34" s="107">
        <f>IF(FN_MC!O37="","*",FN_MC!O37)</f>
        <v>0.41666666666666669</v>
      </c>
      <c r="Q34" s="107">
        <f>IF(FN_MC!P37="","*",FN_MC!P37)</f>
        <v>8.3333333333333329E-2</v>
      </c>
      <c r="R34" s="96" t="str">
        <f>IF(FN_MC!Q37="","*",CONCATENATE(FN_MC!Q37," ",FN_MC!R37))</f>
        <v>15 M</v>
      </c>
      <c r="S34" s="96" t="str">
        <f>IF(FN_MC!V37="","*",FN_MC!V37)</f>
        <v>Amauri</v>
      </c>
      <c r="T34" s="96" t="str">
        <f>IF(FN_MC!W37="","*",FN_MC!W37)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>
        <f>IF(FN_MC!B39="","*",FN_MC!B39)</f>
        <v>46084</v>
      </c>
      <c r="G35" s="96" t="str">
        <f>IF(FN_MC!D39="","*",FN_MC!D39)</f>
        <v>MARCOS (TF-520)</v>
      </c>
      <c r="H35" s="96" t="str">
        <f>IF(FN_MC!F39="","*",FN_MC!F39)</f>
        <v>PDM - SOLDA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>
        <f>IF(FN_MC!B40="","*",FN_MC!B40)</f>
        <v>46084</v>
      </c>
      <c r="G36" s="96" t="str">
        <f>IF(FN_MC!D40="","*",FN_MC!D40)</f>
        <v>V48</v>
      </c>
      <c r="H36" s="96" t="str">
        <f>IF(FN_MC!F40="","*",FN_MC!F40)</f>
        <v>MODERNIZAÇÃO - SOCADORA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>
        <f ca="1">_xlfn.XLOOKUP(G36&amp;$U$2,BS_CONTROLE[CHAVE],BS_CONTROLE[Quantidade_11],"-")</f>
        <v>0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7" t="s">
        <v>1334</v>
      </c>
      <c r="D5" s="248"/>
      <c r="E5" s="248"/>
      <c r="F5" s="248"/>
      <c r="G5" s="248"/>
      <c r="H5" s="248"/>
      <c r="I5" s="248"/>
      <c r="J5" s="249"/>
      <c r="K5" s="250" t="s">
        <v>1335</v>
      </c>
      <c r="L5" s="251"/>
      <c r="M5" s="251"/>
      <c r="N5" s="251"/>
      <c r="O5" s="252" t="s">
        <v>1336</v>
      </c>
      <c r="P5" s="253"/>
      <c r="Q5" s="254"/>
    </row>
    <row r="6" spans="1:17" s="81" customFormat="1" ht="15.75" customHeight="1">
      <c r="A6" s="75" t="s">
        <v>1332</v>
      </c>
      <c r="B6" s="82" t="s">
        <v>1331</v>
      </c>
      <c r="C6" s="83" t="s">
        <v>1172</v>
      </c>
      <c r="D6" s="84" t="s">
        <v>1173</v>
      </c>
      <c r="E6" s="83" t="s">
        <v>1337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1338</v>
      </c>
      <c r="M6" s="116" t="s">
        <v>620</v>
      </c>
      <c r="N6" s="117" t="s">
        <v>1167</v>
      </c>
      <c r="O6" s="165" t="s">
        <v>1210</v>
      </c>
      <c r="P6" s="128"/>
      <c r="Q6" s="139" t="s">
        <v>1339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Autorizado na via as 09:43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>
        <f>IF(FN_MC!B27="","*",FN_MC!B27)</f>
        <v>46084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V86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>
        <f>IF(FN_MC!B31="","*",FN_MC!B31)</f>
        <v>46084</v>
      </c>
      <c r="B31" s="86" t="str">
        <f>IF(FN_MC!X31="","*",FN_MC!X31)</f>
        <v>*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V77</v>
      </c>
      <c r="F31" s="87" t="str">
        <f>IF(FN_MC!H31="","*",FN_MC!H31)</f>
        <v>TIQ2</v>
      </c>
      <c r="G31" s="87" t="str">
        <f>IF(FN_MC!M31="","*",FN_MC!M31)</f>
        <v>TIQ</v>
      </c>
      <c r="H31" s="125">
        <f>IF(FN_MC!K31="","*",FN_MC!K31)</f>
        <v>615.5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TIQ2</v>
      </c>
      <c r="L31" s="118" t="str">
        <f>IF(FN_MC!AM31="","*",FN_MC!AM31)</f>
        <v>TIQ</v>
      </c>
      <c r="M31" s="118">
        <f>IF(FN_MC!AP31="","*",FN_MC!AP31)</f>
        <v>615.5</v>
      </c>
      <c r="N31" s="118" t="str">
        <f>IF(FN_MC!AM31="","*",FN_MC!AM31)</f>
        <v>TIQ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>
        <f>IF(FN_MC!B34="","*",FN_MC!B34)</f>
        <v>46084</v>
      </c>
      <c r="B34" s="86" t="str">
        <f>IF(FN_MC!X34="","*",FN_MC!X34)</f>
        <v>*</v>
      </c>
      <c r="C34" s="87" t="str">
        <f>IF(FN_MC!S34="","*",FN_MC!S34)</f>
        <v>FERRONORTE</v>
      </c>
      <c r="D34" s="87" t="str">
        <f>IF(FN_MC!T34="","*",FN_MC!T34)</f>
        <v>TCS-TGR</v>
      </c>
      <c r="E34" s="87" t="str">
        <f>IF(FN_MC!D34="","*",FN_MC!D34)</f>
        <v>ELSON (TF-526)</v>
      </c>
      <c r="F34" s="87" t="str">
        <f>IF(FN_MC!H34="","*",FN_MC!H34)</f>
        <v>TIP1</v>
      </c>
      <c r="G34" s="87" t="str">
        <f>IF(FN_MC!M34="","*",FN_MC!M34)</f>
        <v>TIP</v>
      </c>
      <c r="H34" s="125">
        <f>IF(FN_MC!K34="","*",FN_MC!K34)</f>
        <v>400.29</v>
      </c>
      <c r="I34" s="110">
        <f>IF(FN_MC!O34="","*",FN_MC!O34)</f>
        <v>0.41666666666666669</v>
      </c>
      <c r="J34" s="110">
        <f>IF(FN_MC!P34="","*",FN_MC!P34)</f>
        <v>8.3333333333333329E-2</v>
      </c>
      <c r="K34" s="118" t="str">
        <f>IF(FN_MC!AK34="","*",FN_MC!AK34)</f>
        <v>TIP1</v>
      </c>
      <c r="L34" s="118" t="str">
        <f>IF(FN_MC!AM34="","*",FN_MC!AM34)</f>
        <v>TIP</v>
      </c>
      <c r="M34" s="118">
        <f>IF(FN_MC!AP34="","*",FN_MC!AP34)</f>
        <v>400.29</v>
      </c>
      <c r="N34" s="118" t="str">
        <f>IF(FN_MC!AM34="","*",FN_MC!AM34)</f>
        <v>TIP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>
        <f>IF(FN_MC!B37="","*",FN_MC!B37)</f>
        <v>46084</v>
      </c>
      <c r="B37" s="86" t="str">
        <f>IF(FN_MC!X37="","*",FN_MC!X37)</f>
        <v>*</v>
      </c>
      <c r="C37" s="87" t="str">
        <f>IF(FN_MC!S37="","*",FN_MC!S37)</f>
        <v>FERRONORTE</v>
      </c>
      <c r="D37" s="87" t="str">
        <f>IF(FN_MC!T37="","*",FN_MC!T37)</f>
        <v>TCS-TGR</v>
      </c>
      <c r="E37" s="87" t="str">
        <f>IF(FN_MC!D37="","*",FN_MC!D37)</f>
        <v>AMAURI (TF-515)</v>
      </c>
      <c r="F37" s="87" t="str">
        <f>IF(FN_MC!H37="","*",FN_MC!H37)</f>
        <v>TLA1</v>
      </c>
      <c r="G37" s="87" t="str">
        <f>IF(FN_MC!M37="","*",FN_MC!M37)</f>
        <v>TLA</v>
      </c>
      <c r="H37" s="125">
        <f>IF(FN_MC!K37="","*",FN_MC!K37)</f>
        <v>338.2</v>
      </c>
      <c r="I37" s="110">
        <f>IF(FN_MC!O37="","*",FN_MC!O37)</f>
        <v>0.41666666666666669</v>
      </c>
      <c r="J37" s="110">
        <f>IF(FN_MC!P37="","*",FN_MC!P37)</f>
        <v>8.3333333333333329E-2</v>
      </c>
      <c r="K37" s="118" t="str">
        <f>IF(FN_MC!AK37="","*",FN_MC!AK37)</f>
        <v>TLA1</v>
      </c>
      <c r="L37" s="118" t="str">
        <f>IF(FN_MC!AM37="","*",FN_MC!AM37)</f>
        <v>TLA</v>
      </c>
      <c r="M37" s="118">
        <f>IF(FN_MC!AP37="","*",FN_MC!AP37)</f>
        <v>338.2</v>
      </c>
      <c r="N37" s="118" t="str">
        <f>IF(FN_MC!AM37="","*",FN_MC!AM37)</f>
        <v>TLA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>
        <f>IF(FN_MC!B38="","*",FN_MC!B38)</f>
        <v>46084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BRUNO (TF-525)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>
        <f>IF(FN_MC!B39="","*",FN_MC!B39)</f>
        <v>46084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MARCOS (TF-520)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>
        <f>IF(FN_MC!B40="","*",FN_MC!B40)</f>
        <v>46084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V48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2026-03-02T16:17:47Z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