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69" documentId="8_{B6337239-1A00-434D-AAD0-422EA1FEB5AE}" xr6:coauthVersionLast="47" xr6:coauthVersionMax="47" xr10:uidLastSave="{54192D6F-AE0C-4F1A-92F2-F839CC49EFD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4" i="1" l="1"/>
  <c r="BT255" i="1"/>
  <c r="BT256" i="1"/>
  <c r="BT257" i="1"/>
  <c r="BT249" i="1"/>
  <c r="BT245" i="1"/>
  <c r="BT243" i="1"/>
  <c r="BT236" i="1"/>
  <c r="BR255" i="1"/>
  <c r="BS255" i="1"/>
  <c r="BC255" i="1" a="1"/>
  <c r="BC255" i="1"/>
  <c r="BF255" i="1"/>
  <c r="BC256" i="1" a="1"/>
  <c r="BC256" i="1"/>
  <c r="BF256" i="1"/>
  <c r="AY255" i="1"/>
  <c r="AY256" i="1"/>
  <c r="AI255" i="1"/>
  <c r="BB255" i="1" s="1"/>
  <c r="AJ255" i="1"/>
  <c r="AK255" i="1"/>
  <c r="AL255" i="1"/>
  <c r="AO255" i="1"/>
  <c r="AP255" i="1"/>
  <c r="AQ255" i="1"/>
  <c r="C255" i="1"/>
  <c r="S255" i="1" a="1"/>
  <c r="S255" i="1"/>
  <c r="T255" i="1" a="1"/>
  <c r="T255" i="1"/>
  <c r="U255" i="1"/>
  <c r="R255" i="1"/>
  <c r="N255" i="1" a="1"/>
  <c r="N255" i="1"/>
  <c r="AN255" i="1" s="1"/>
  <c r="M255" i="1" a="1"/>
  <c r="M255" i="1"/>
  <c r="AM255" i="1" s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R271" i="1"/>
  <c r="S268" i="12" s="1"/>
  <c r="S271" i="1" a="1"/>
  <c r="S271" i="1" s="1"/>
  <c r="D268" i="12" s="1"/>
  <c r="T271" i="1" a="1"/>
  <c r="T271" i="1" s="1"/>
  <c r="E268" i="12" s="1"/>
  <c r="U271" i="1"/>
  <c r="AI271" i="1"/>
  <c r="BB271" i="1" s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38" i="1"/>
  <c r="BT239" i="1"/>
  <c r="BT240" i="1"/>
  <c r="BT246" i="1"/>
  <c r="BT247" i="1"/>
  <c r="BT248" i="1"/>
  <c r="BT250" i="1"/>
  <c r="BT251" i="1"/>
  <c r="BT252" i="1"/>
  <c r="BT253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255" i="1" l="1"/>
  <c r="AJ288" i="1"/>
  <c r="AJ283" i="1"/>
  <c r="AJ284" i="1"/>
  <c r="AJ279" i="1"/>
  <c r="AJ271" i="1"/>
  <c r="AJ267" i="1"/>
  <c r="AJ264" i="1"/>
  <c r="BD256" i="1" a="1"/>
  <c r="BD256" i="1" s="1"/>
  <c r="BE256" i="1"/>
  <c r="BD255" i="1" a="1"/>
  <c r="BD255" i="1" s="1"/>
  <c r="BE255" i="1"/>
  <c r="AJ252" i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<sst xmlns="http://schemas.openxmlformats.org/spreadsheetml/2006/main" count="5838" uniqueCount="1572">
  <si>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</si>
  <si>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</si>
  <si>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</si>
  <si>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</si>
  <si>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</si>
  <si>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</si>
  <si>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</si>
  <si>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</si>
  <si>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</si>
  <si>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</si>
  <si>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</si>
  <si>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</si>
  <si>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</si>
  <si>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</si>
  <si>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</si>
  <si>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</si>
  <si>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</si>
  <si>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</si>
  <si>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</si>
  <si>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</si>
  <si>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</si>
  <si>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</si>
  <si>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</si>
  <si>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</si>
  <si>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</si>
  <si>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</si>
  <si>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</si>
  <si>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</si>
  <si>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</si>
  <si>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</si>
  <si>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</si>
  <si>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</si>
  <si>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</si>
  <si>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</si>
  <si>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</si>
  <si>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</si>
  <si>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</si>
  <si>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</si>
  <si>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</si>
  <si>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</si>
  <si>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</si>
  <si>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</si>
  <si>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</si>
  <si>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</si>
  <si>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</si>
  <si>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</si>
  <si>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</si>
  <si>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</si>
  <si>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</si>
  <si>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</si>
  <si>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</si>
  <si>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</si>
  <si>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</si>
  <si>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</si>
  <si>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</si>
  <si>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</si>
  <si>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</si>
  <si>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</si>
  <si>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</si>
  <si>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</si>
  <si>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</si>
  <si>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</si>
  <si>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</si>
  <si>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</si>
  <si>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</si>
  <si>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</si>
  <si>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</si>
  <si>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</si>
  <si>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</si>
  <si>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</si>
  <si>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</si>
  <si>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</si>
  <si>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</si>
  <si>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</si>
  <si>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</si>
  <si>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</si>
  <si>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</si>
  <si>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</si>
  <si>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</si>
  <si>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</si>
  <si>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</si>
  <si>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</si>
  <si>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</si>
  <si>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</si>
  <si>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</si>
  <si>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</si>
  <si>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</si>
  <si>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</si>
  <si>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</si>
  <si>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</si>
  <si>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</si>
  <si>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</si>
  <si>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</si>
  <si>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</si>
  <si>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</si>
  <si>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</si>
  <si>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</si>
  <si>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</si>
  <si>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</si>
  <si>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</si>
  <si>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</si>
  <si>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</si>
  <si>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</si>
  <si>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</si>
  <si>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</si>
  <si>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</si>
  <si>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</si>
  <si>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</si>
  <si>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</si>
  <si>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</si>
  <si>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</si>
  <si>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</si>
  <si>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</si>
  <si>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</si>
  <si>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</si>
  <si>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</si>
  <si>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</si>
  <si>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</si>
  <si>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</si>
  <si>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</si>
  <si>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</si>
  <si>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</si>
  <si>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</si>
  <si>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</si>
  <si>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</si>
  <si>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</si>
  <si>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</si>
  <si>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</si>
  <si>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</si>
  <si>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</si>
  <si>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</si>
  <si>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</si>
  <si>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</si>
  <si>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</si>
  <si>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</si>
  <si>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</si>
  <si>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</si>
  <si>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</si>
  <si>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</si>
  <si>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</si>
  <si>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</si>
  <si>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</si>
  <si>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</si>
  <si>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</si>
  <si>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</si>
  <si>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</si>
  <si>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</si>
  <si>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</si>
  <si>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</si>
  <si>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</si>
  <si>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</si>
  <si>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</si>
  <si>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</si>
  <si>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</si>
  <si>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</si>
  <si>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</si>
  <si>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</si>
  <si>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</si>
  <si>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</si>
  <si>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</si>
  <si>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</si>
  <si>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</si>
  <si>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</si>
  <si>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</si>
  <si>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</si>
  <si>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</si>
  <si>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</si>
  <si>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</si>
  <si>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</si>
  <si>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</si>
  <si>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</si>
  <si>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</si>
  <si>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</si>
  <si>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</si>
  <si>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</si>
  <si>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</si>
  <si>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</si>
  <si>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</si>
  <si>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</si>
  <si>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</si>
  <si>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</si>
  <si>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</si>
  <si>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</si>
  <si>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</si>
  <si>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</si>
  <si>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</si>
  <si>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</si>
  <si>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</si>
  <si>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</si>
  <si>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</si>
  <si>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</si>
  <si>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</si>
  <si>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</si>
  <si>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</si>
  <si>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</si>
  <si>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</si>
  <si>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</si>
  <si>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</si>
  <si>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</si>
  <si>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</si>
  <si>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</si>
  <si>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</si>
  <si>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</si>
  <si>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</si>
  <si>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</si>
  <si>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</si>
  <si>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</si>
  <si>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</si>
  <si>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</si>
  <si>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</si>
  <si>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</si>
  <si>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</si>
  <si>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</si>
  <si>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</si>
  <si>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</si>
  <si>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</si>
  <si>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</si>
  <si>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</si>
  <si>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</si>
  <si>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</si>
  <si>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</si>
  <si>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</si>
  <si>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</si>
  <si>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</si>
  <si>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</si>
  <si>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</si>
  <si>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</si>
  <si>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</si>
  <si>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</si>
  <si>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</si>
  <si>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</si>
  <si>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</si>
  <si>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</si>
  <si>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</si>
  <si>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</si>
  <si>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</si>
  <si>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</si>
  <si>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</si>
  <si>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</si>
  <si>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</si>
  <si>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</si>
  <si>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</si>
  <si>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</si>
  <si>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</si>
  <si>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</si>
  <si>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</si>
  <si>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</si>
  <si>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</si>
  <si>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</si>
  <si>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</si>
  <si>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</si>
  <si>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</si>
  <si>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</si>
  <si>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</si>
  <si>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</si>
  <si>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</si>
  <si>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</si>
  <si>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</si>
  <si>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</si>
  <si>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</si>
  <si>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</si>
  <si>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</si>
  <si>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</si>
  <si>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</si>
  <si>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</si>
  <si>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</si>
  <si>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</si>
  <si>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</si>
  <si>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</si>
  <si>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</si>
  <si>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</si>
  <si>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</si>
  <si>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</si>
  <si>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</si>
  <si>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</si>
  <si>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</si>
  <si>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</si>
  <si>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</si>
  <si>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</si>
  <si>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</si>
  <si>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</si>
  <si>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</si>
  <si>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</si>
  <si>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</si>
  <si>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</si>
  <si>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</si>
  <si>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</si>
  <si>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</si>
  <si>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</si>
  <si>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</si>
  <si>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</si>
  <si>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</si>
  <si>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</si>
  <si>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</si>
  <si>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</si>
  <si>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</si>
  <si>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</si>
  <si>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</si>
  <si>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</si>
  <si>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</si>
  <si>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</si>
  <si>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</si>
  <si>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</si>
  <si>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</si>
  <si>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</si>
  <si>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</si>
  <si>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</si>
  <si>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</si>
  <si>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</si>
  <si>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</si>
  <si>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</si>
  <si>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</si>
  <si>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</si>
  <si>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</si>
  <si>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</si>
  <si>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</si>
  <si>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</si>
  <si>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</si>
  <si>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</si>
  <si>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</si>
  <si>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</si>
  <si>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</si>
  <si>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</si>
  <si>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</si>
  <si>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</si>
  <si>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</si>
  <si>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</si>
  <si>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</si>
  <si>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</si>
  <si>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</si>
  <si>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</si>
  <si>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</si>
  <si>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</si>
  <si>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</si>
  <si>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</si>
  <si>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</si>
  <si>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</si>
  <si>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</si>
  <si>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</si>
  <si>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</si>
  <si>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</si>
  <si>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</si>
  <si>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</si>
  <si>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</si>
  <si>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</si>
  <si>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</si>
  <si>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</si>
  <si>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</si>
  <si>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</si>
  <si>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</si>
  <si>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</si>
  <si>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</si>
  <si>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</si>
  <si>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</si>
  <si>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</si>
  <si>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</si>
  <si>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</si>
  <si>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</si>
  <si>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</si>
  <si>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</si>
  <si>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</si>
  <si>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</si>
  <si>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</si>
  <si>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</si>
  <si>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</si>
  <si>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</si>
  <si>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</si>
  <si>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</si>
  <si>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</si>
  <si>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</si>
  <si>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</si>
  <si>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</si>
  <si>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</si>
  <si>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</si>
  <si>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</si>
  <si>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</si>
  <si>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</si>
  <si>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</si>
  <si>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</si>
  <si>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</si>
  <si>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</si>
  <si>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</si>
  <si>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</si>
  <si>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</si>
  <si>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</si>
  <si>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</si>
  <si>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</si>
  <si>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</si>
  <si>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</si>
  <si>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</si>
  <si>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</si>
  <si>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</si>
  <si>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</si>
  <si>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</si>
  <si>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</si>
  <si>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</si>
  <si>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</si>
  <si>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</si>
  <si>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</si>
  <si>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</si>
  <si>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</si>
  <si>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</si>
  <si>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</si>
  <si>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</si>
  <si>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</si>
  <si>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</si>
  <si>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</si>
  <si>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</si>
  <si>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</si>
  <si>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</si>
  <si>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</si>
  <si>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</si>
  <si>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</si>
  <si>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</si>
  <si>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</si>
  <si>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</si>
  <si>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</si>
  <si>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</si>
  <si>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</si>
  <si>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</si>
  <si>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</si>
  <si>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</si>
  <si>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</si>
  <si>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</si>
  <si>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</si>
  <si>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</si>
  <si>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</si>
  <si>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</si>
  <si>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</si>
  <si>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</si>
  <si>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</si>
  <si>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</si>
  <si>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</si>
  <si>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</si>
  <si>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</si>
  <si>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</si>
  <si>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</si>
  <si>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</si>
  <si>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</si>
  <si>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</si>
  <si>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</si>
  <si>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</si>
  <si>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</si>
  <si>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</si>
  <si>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</si>
  <si>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</si>
  <si>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</si>
  <si>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</si>
  <si>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</si>
  <si>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</si>
  <si>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</si>
  <si>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</si>
  <si>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</si>
  <si>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</si>
  <si>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</si>
  <si>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</si>
  <si>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</si>
  <si>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</si>
  <si>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</si>
  <si>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</si>
  <si>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</si>
  <si>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</si>
  <si>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</si>
  <si>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</si>
  <si>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</si>
  <si>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</si>
  <si>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</si>
  <si>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</si>
  <si>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</si>
  <si>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</si>
  <si>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</si>
  <si>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</si>
  <si>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</si>
  <si>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</si>
  <si>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</si>
  <si>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</si>
  <si>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</si>
  <si>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</si>
  <si>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</si>
  <si>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</si>
  <si>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</si>
  <si>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</si>
  <si>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</si>
  <si>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</si>
  <si>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</si>
  <si>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</si>
  <si>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</si>
  <si>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</si>
  <si>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</si>
  <si>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</si>
  <si>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</si>
  <si>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</si>
  <si>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</si>
  <si>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</si>
  <si>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</si>
  <si>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</si>
  <si>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</si>
  <si>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</si>
  <si>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</si>
  <si>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</si>
  <si>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</si>
  <si>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</si>
  <si>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</si>
  <si>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</si>
  <si>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</si>
  <si>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</si>
  <si>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</si>
  <si>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</si>
  <si>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</si>
  <si>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</si>
  <si>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</si>
  <si>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</si>
  <si>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</si>
  <si>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</si>
  <si>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</si>
  <si>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</si>
  <si>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</si>
  <si>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</si>
  <si>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</si>
  <si>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</si>
  <si>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</si>
  <si>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</si>
  <si>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</si>
  <si>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</si>
  <si>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</si>
  <si>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</si>
  <si>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</si>
  <si>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</si>
  <si>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</si>
  <si>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</si>
  <si>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</si>
  <si>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</si>
  <si>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</si>
  <si>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</si>
  <si>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</si>
  <si>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</si>
  <si>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</si>
  <si>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</si>
  <si>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</si>
  <si>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</si>
  <si>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</si>
  <si>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</si>
  <si>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</si>
  <si>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</si>
  <si>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</si>
  <si>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</si>
  <si>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</si>
  <si>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</si>
  <si>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</si>
  <si>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</si>
  <si>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</si>
  <si>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</si>
  <si>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</si>
  <si>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</si>
  <si>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</si>
  <si>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</si>
  <si>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</si>
  <si>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</si>
  <si>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</si>
  <si>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</si>
  <si>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</si>
  <si>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</si>
  <si>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</si>
  <si>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</si>
  <si>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</si>
  <si>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</si>
  <si>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</si>
  <si>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</si>
  <si>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</si>
  <si>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</si>
  <si>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</si>
  <si>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</si>
  <si>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</si>
  <si>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</si>
  <si>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</si>
  <si>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</si>
  <si>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</si>
  <si>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</si>
  <si>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</si>
  <si>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</si>
  <si>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</si>
  <si>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</si>
  <si>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</si>
  <si>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</si>
  <si>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</si>
  <si>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</si>
  <si>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</si>
  <si>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</si>
  <si>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</si>
  <si>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</si>
  <si>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</si>
  <si>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</si>
  <si>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</si>
  <si>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</si>
  <si>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</si>
  <si>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</si>
  <si>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</si>
  <si>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</si>
  <si>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</si>
  <si>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</si>
  <si>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</si>
  <si>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</si>
  <si>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</si>
  <si>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</si>
  <si>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</si>
  <si>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</si>
  <si>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</si>
  <si>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</si>
  <si>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</si>
  <si>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</si>
  <si>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</si>
  <si>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</si>
  <si>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</si>
  <si>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</si>
  <si>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</si>
  <si>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</si>
  <si>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</si>
  <si>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</si>
  <si>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</si>
  <si>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</si>
  <si>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</si>
  <si>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</si>
  <si>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</si>
  <si>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</si>
  <si>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</si>
  <si>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</si>
  <si>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</si>
  <si>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</si>
  <si>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</si>
  <si>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</si>
  <si>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</si>
  <si>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</si>
  <si>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</si>
  <si>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</si>
  <si>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</si>
  <si>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</si>
  <si>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</si>
  <si>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</si>
  <si>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</si>
  <si>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</si>
  <si>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</si>
  <si>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</si>
  <si>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</si>
  <si>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</si>
  <si>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</si>
  <si>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</si>
  <si>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</si>
  <si>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</si>
  <si>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</si>
  <si>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</si>
  <si>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</si>
  <si>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</si>
  <si>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</si>
  <si>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</si>
  <si>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</si>
  <si>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</si>
  <si>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</si>
  <si>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</si>
  <si>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</si>
  <si>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</si>
  <si>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</si>
  <si>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</si>
  <si>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</si>
  <si>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</si>
  <si>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</si>
  <si>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</si>
  <si>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</si>
  <si>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</si>
  <si>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</si>
  <si>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</si>
  <si>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</si>
  <si>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</si>
  <si>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</si>
  <si>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</si>
  <si>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</si>
  <si>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</si>
  <si>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</si>
  <si>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</si>
  <si>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</si>
  <si>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</si>
  <si>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</si>
  <si>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</si>
  <si>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</si>
  <si>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</si>
  <si>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</si>
  <si>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</si>
  <si>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</si>
  <si>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</si>
  <si>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</si>
  <si>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</si>
  <si>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</si>
  <si>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</si>
  <si>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</si>
  <si>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</si>
  <si>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</si>
  <si>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</si>
  <si>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</si>
  <si>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</si>
  <si>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</si>
  <si>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</si>
  <si>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</si>
  <si>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</si>
  <si>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</si>
  <si>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</si>
  <si>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</si>
  <si>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</si>
  <si>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</si>
  <si>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</si>
  <si>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</si>
  <si>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</si>
  <si>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</si>
  <si>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</si>
  <si>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</si>
  <si>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</si>
  <si>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</si>
  <si>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</si>
  <si>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</si>
  <si>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</si>
  <si>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</si>
  <si>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</si>
  <si>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</si>
  <si>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</si>
  <si>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</si>
  <si>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</si>
  <si>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</si>
  <si>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</si>
  <si>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</si>
  <si>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</si>
  <si>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</si>
  <si>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</si>
  <si>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</si>
  <si>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</si>
  <si>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</si>
  <si>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</si>
  <si>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</si>
  <si>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</si>
  <si>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</si>
  <si>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</si>
  <si>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</si>
  <si>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</si>
  <si>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</si>
  <si>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</si>
  <si>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</si>
  <si>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</si>
  <si>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</si>
  <si>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</si>
  <si>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</si>
  <si>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</si>
  <si>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</si>
  <si>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</si>
  <si>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</si>
  <si>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</si>
  <si>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</si>
  <si>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</si>
  <si>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</si>
  <si>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</si>
  <si>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</si>
  <si>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</si>
  <si>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</si>
  <si>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</si>
  <si>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</si>
  <si>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</si>
  <si>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</si>
  <si>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</si>
  <si>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</si>
  <si>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</si>
  <si>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</si>
  <si>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</si>
  <si>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</si>
  <si>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</si>
  <si>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</si>
  <si>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</si>
  <si>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</si>
  <si>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</si>
  <si>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</si>
  <si>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</si>
  <si>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</si>
  <si>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</si>
  <si>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</si>
  <si>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</si>
  <si>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</si>
  <si>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</si>
  <si>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</si>
  <si>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</si>
  <si>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</si>
  <si>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</si>
  <si>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</si>
  <si>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</si>
  <si>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</si>
  <si>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</si>
  <si>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</si>
  <si>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</si>
  <si>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</si>
  <si>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</si>
  <si>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</si>
  <si>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</si>
  <si>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</si>
  <si>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</si>
  <si>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</si>
  <si>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</si>
  <si>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</si>
  <si>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</si>
  <si>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</si>
  <si>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</si>
  <si>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</si>
  <si>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</si>
  <si>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</si>
  <si>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</si>
  <si>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</si>
  <si>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</si>
  <si>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</si>
  <si>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</si>
  <si>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</si>
  <si>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</si>
  <si>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</si>
  <si>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</si>
  <si>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</si>
  <si>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</si>
  <si>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</si>
  <si>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</si>
  <si>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</si>
  <si>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</si>
  <si>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</si>
  <si>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</si>
  <si>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</si>
  <si>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</si>
  <si>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</si>
  <si>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</si>
  <si>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</si>
  <si>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</si>
  <si>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</si>
  <si>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</si>
  <si>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</si>
  <si>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</si>
  <si>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</si>
  <si>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</si>
  <si>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</si>
  <si>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</si>
  <si>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</si>
  <si>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</si>
  <si>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</si>
  <si>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</si>
  <si>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</si>
  <si>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</si>
  <si>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</si>
  <si>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</si>
  <si>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</si>
  <si>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</si>
  <si>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</si>
  <si>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</si>
  <si>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</si>
  <si>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</si>
  <si>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</si>
  <si>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</si>
  <si>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</si>
  <si>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</si>
  <si>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</si>
  <si>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</si>
  <si>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</si>
  <si>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</si>
  <si>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</si>
  <si>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</si>
  <si>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</si>
  <si>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</si>
  <si>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</si>
  <si>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</si>
  <si>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</si>
  <si>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</si>
  <si>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</si>
  <si>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</si>
  <si>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</si>
  <si>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</si>
  <si>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</si>
  <si>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</si>
  <si>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</si>
  <si>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</si>
  <si>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</si>
  <si>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</si>
  <si>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</si>
  <si>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</si>
  <si>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</si>
  <si>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</si>
  <si>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</si>
  <si>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</si>
  <si>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</si>
  <si>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</si>
  <si>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</si>
  <si>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</si>
  <si>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</si>
  <si>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</si>
  <si>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</si>
  <si>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</si>
  <si>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</si>
  <si>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</si>
  <si>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</si>
  <si>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</si>
  <si>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</si>
  <si>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</si>
  <si>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</si>
  <si>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</si>
  <si>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</si>
  <si>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</si>
  <si>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</si>
  <si>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</si>
  <si>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</si>
  <si>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</si>
  <si>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</si>
  <si>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</si>
  <si>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</si>
  <si>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</si>
  <si>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</si>
  <si>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</si>
  <si>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</si>
  <si>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</si>
  <si>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</si>
  <si>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</si>
  <si>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</si>
  <si>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</si>
  <si>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</si>
  <si>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</si>
  <si>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</si>
  <si>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</si>
  <si>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</si>
  <si>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</si>
  <si>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</si>
  <si>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</si>
  <si>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</si>
  <si>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</si>
  <si>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</si>
  <si>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</si>
  <si>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</si>
  <si>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</si>
  <si>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</si>
  <si>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</si>
  <si>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</si>
  <si>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</si>
  <si>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</si>
  <si>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</si>
  <si>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</si>
  <si>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</si>
  <si>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</si>
  <si>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</si>
  <si>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</si>
  <si>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</si>
  <si>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</si>
  <si>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</si>
  <si>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</si>
  <si>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</si>
  <si>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</si>
  <si>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</si>
  <si>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</si>
  <si>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</si>
  <si>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</si>
  <si>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</si>
  <si>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</si>
  <si>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</si>
  <si>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</si>
  <si>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</si>
  <si>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</si>
  <si>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</si>
  <si>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</si>
  <si>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</si>
  <si>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</si>
  <si>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</si>
  <si>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</si>
  <si>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</si>
  <si>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</si>
  <si>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</si>
  <si>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</si>
  <si>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</si>
  <si>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</si>
  <si>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</si>
  <si>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</si>
  <si>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</si>
  <si>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</si>
  <si>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</si>
  <si>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</si>
  <si>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</si>
  <si>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</si>
  <si>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</si>
  <si>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</si>
  <si>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</si>
  <si>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</si>
  <si>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</si>
  <si>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</si>
  <si>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</si>
  <si>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</si>
  <si>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</si>
  <si>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</si>
  <si>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</si>
  <si>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</si>
  <si>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</si>
  <si>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</si>
  <si>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</si>
  <si>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</si>
  <si>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</si>
  <si>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</si>
  <si>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</si>
  <si>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</si>
  <si>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</si>
  <si>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</si>
  <si>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</si>
  <si>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</si>
  <si>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</si>
  <si>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</si>
  <si>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</si>
  <si>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</si>
  <si>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</si>
  <si>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</si>
  <si>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</si>
  <si>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</si>
  <si>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</si>
  <si>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</si>
  <si>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</si>
  <si>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</si>
  <si>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</si>
  <si>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</si>
  <si>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</si>
  <si>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</si>
  <si>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</si>
  <si>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</si>
  <si>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</si>
  <si>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</si>
  <si>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</si>
  <si>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</si>
  <si>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</si>
  <si>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</si>
  <si>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</si>
  <si>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</si>
  <si>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</si>
  <si>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</si>
  <si>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</si>
  <si>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</si>
  <si>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</si>
  <si>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</si>
  <si>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</si>
  <si>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</si>
  <si>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</si>
  <si>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</si>
  <si>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</si>
  <si>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</si>
  <si>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</si>
  <si>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</si>
  <si>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</si>
  <si>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</si>
  <si>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</si>
  <si>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</si>
  <si>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</si>
  <si>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</si>
  <si>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</si>
  <si>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</si>
  <si>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</si>
  <si>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</si>
  <si>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</si>
  <si>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</si>
  <si>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</si>
  <si>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</si>
  <si>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</si>
  <si>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</si>
  <si>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</si>
  <si>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</si>
  <si>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</si>
  <si>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</si>
  <si>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</si>
  <si>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</si>
  <si>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</si>
  <si>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</si>
  <si>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</si>
  <si>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</si>
  <si>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</si>
  <si>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</si>
  <si>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</si>
  <si>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</si>
  <si>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</si>
  <si>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</si>
  <si>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</si>
  <si>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</si>
  <si>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</si>
  <si>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</si>
  <si>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</si>
  <si>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</si>
  <si>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</si>
  <si>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</si>
  <si>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</si>
  <si>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</si>
  <si>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</si>
  <si>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</si>
  <si>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</si>
  <si>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</si>
  <si>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</si>
  <si>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</si>
  <si>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</si>
  <si>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</si>
  <si>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</si>
  <si>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</si>
  <si>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</si>
  <si>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</si>
  <si>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</si>
  <si>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</si>
  <si>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</si>
  <si>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</si>
  <si>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</si>
  <si>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</si>
  <si>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</si>
  <si>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</si>
  <si>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</si>
  <si>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</si>
  <si>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</si>
  <si>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</si>
  <si>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</si>
  <si>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</si>
  <si>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</si>
  <si>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</si>
  <si>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</si>
  <si>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</si>
  <si>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</si>
  <si>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</si>
  <si>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</si>
  <si>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</si>
  <si>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</si>
  <si>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</si>
  <si>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</si>
  <si>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</si>
  <si>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</si>
  <si>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</si>
  <si>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</si>
  <si>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</si>
  <si>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</si>
  <si>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</si>
  <si>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</si>
  <si>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</si>
  <si>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</si>
  <si>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</si>
  <si>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</si>
  <si>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</si>
  <si>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</si>
  <si>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</si>
  <si>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</si>
  <si>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</si>
  <si>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</si>
  <si>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</si>
  <si>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</si>
  <si>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</si>
  <si>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</si>
  <si>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</si>
  <si>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</si>
  <si>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</si>
  <si>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</si>
  <si>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</si>
  <si>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</si>
  <si>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</si>
  <si>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</si>
  <si>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</si>
  <si>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</si>
  <si>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</si>
  <si>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</si>
  <si>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</si>
  <si>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</si>
  <si>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</si>
  <si>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</si>
  <si>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</si>
  <si>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</si>
  <si>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</si>
  <si>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</si>
  <si>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</si>
  <si>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</si>
  <si>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</si>
  <si>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</si>
  <si>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</si>
  <si>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</si>
  <si>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</si>
  <si>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</si>
  <si>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</si>
  <si>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</si>
  <si>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</si>
  <si>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</si>
  <si>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</si>
  <si>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</si>
  <si>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</si>
  <si>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</si>
  <si>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</si>
  <si>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</si>
  <si>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</si>
  <si>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</si>
  <si>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</si>
  <si>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</si>
  <si>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</si>
  <si>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</si>
  <si>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</si>
  <si>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</si>
  <si>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</si>
  <si>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</si>
  <si>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</si>
  <si>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</si>
  <si>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</si>
  <si>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</si>
  <si>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</si>
  <si>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</si>
  <si>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</si>
  <si>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</si>
  <si>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</si>
  <si>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</si>
  <si>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</si>
  <si>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</si>
  <si>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</si>
  <si>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</si>
  <si>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</si>
  <si>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</si>
  <si>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</si>
  <si>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</si>
  <si>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</si>
  <si>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</si>
  <si>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</si>
  <si>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</si>
  <si>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</si>
  <si>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</si>
  <si>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</si>
  <si>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</si>
  <si>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</si>
  <si>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</si>
  <si>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</si>
  <si>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</si>
  <si>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</si>
  <si>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</si>
  <si>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</si>
  <si>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</si>
  <si>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</si>
  <si>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</si>
  <si>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</si>
  <si>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</si>
  <si>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</si>
  <si>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</si>
  <si>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</si>
  <si>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</si>
  <si>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</si>
  <si>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</si>
  <si>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</si>
  <si>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</si>
  <si>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</si>
  <si>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</si>
  <si>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</si>
  <si>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</si>
  <si>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</si>
  <si>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</si>
  <si>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</si>
  <si>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</si>
  <si>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</si>
  <si>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</si>
  <si>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</si>
  <si>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</si>
  <si>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</si>
  <si>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</si>
  <si>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</si>
  <si>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</si>
  <si>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</si>
  <si>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</si>
  <si>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</si>
  <si>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</si>
  <si>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</si>
  <si>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</si>
  <si>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</si>
  <si>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</si>
  <si>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</si>
  <si>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</si>
  <si>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</si>
  <si>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</si>
  <si>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</si>
  <si>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</si>
  <si>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</si>
  <si>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</si>
  <si>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</si>
  <si>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</si>
  <si>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</si>
  <si>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</si>
  <si>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</si>
  <si>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</si>
  <si>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</si>
  <si>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</si>
  <si>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</si>
  <si>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</si>
  <si>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</si>
  <si>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</si>
  <si>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</si>
  <si>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</si>
  <si>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</si>
  <si>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</si>
  <si>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</si>
  <si>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</si>
  <si>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</si>
  <si>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</si>
  <si>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</si>
  <si>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</si>
  <si>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</si>
  <si>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</si>
  <si>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</si>
  <si>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</si>
  <si>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</si>
  <si>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</si>
  <si>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</si>
  <si>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</si>
  <si>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</si>
  <si>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</si>
  <si>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</si>
  <si>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</si>
  <si>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</si>
  <si>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</si>
  <si>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</si>
  <si>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</si>
  <si>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</si>
  <si>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</si>
  <si>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</si>
  <si>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</si>
  <si>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</si>
  <si>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</si>
  <si>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</si>
  <si>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</si>
  <si>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</si>
  <si>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</si>
  <si>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</si>
  <si>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</si>
  <si>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</si>
  <si>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</si>
  <si>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</si>
  <si>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</si>
  <si>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</si>
  <si>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</si>
  <si>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</si>
  <si>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</si>
  <si>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</si>
  <si>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</si>
  <si>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</si>
  <si>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</si>
  <si>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</si>
  <si>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</si>
  <si>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</si>
  <si>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</si>
  <si>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</si>
  <si>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</si>
  <si>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</si>
  <si>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</si>
  <si>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</si>
  <si>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</si>
  <si>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</si>
  <si>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</si>
  <si>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</si>
  <si>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</si>
  <si>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</si>
  <si>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</si>
  <si>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</si>
  <si>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</si>
  <si>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</si>
  <si>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</si>
  <si>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</si>
  <si>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</si>
  <si>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</si>
  <si>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</si>
  <si>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</si>
  <si>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</si>
  <si>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</si>
  <si>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</si>
  <si>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</si>
  <si>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</si>
  <si>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</si>
  <si>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</si>
  <si>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</si>
  <si>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</si>
  <si>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</si>
  <si>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</si>
  <si>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</si>
  <si>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</si>
  <si>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</si>
  <si>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</si>
  <si>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</si>
  <si>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</si>
  <si>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</si>
  <si>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</si>
  <si>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</si>
  <si>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</si>
  <si>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</si>
  <si>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</si>
  <si>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</si>
  <si>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</si>
  <si>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</si>
  <si>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</si>
  <si>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</si>
  <si>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</si>
  <si>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</si>
  <si>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</si>
  <si>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</si>
  <si>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</si>
  <si>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</si>
  <si>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</si>
  <si>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</si>
  <si>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</si>
  <si>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</si>
  <si>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</si>
  <si>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</si>
  <si>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</si>
  <si>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</si>
  <si>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</si>
  <si>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</si>
  <si>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</si>
  <si>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</si>
  <si>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</si>
  <si>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</si>
  <si>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</si>
  <si>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</si>
  <si>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</si>
  <si>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</si>
  <si>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</si>
  <si>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</si>
  <si>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</si>
  <si>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</si>
  <si>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</si>
  <si>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</si>
  <si>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</si>
  <si>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</si>
  <si>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</si>
  <si>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</si>
  <si>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</si>
  <si>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</si>
  <si>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</si>
  <si>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</si>
  <si>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</si>
  <si>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</si>
  <si>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</si>
  <si>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</si>
  <si>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</si>
  <si>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</si>
  <si>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</si>
  <si>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</si>
  <si>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</si>
  <si>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</si>
  <si>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</si>
  <si>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</si>
  <si>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</si>
  <si>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</si>
  <si>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</si>
  <si>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</si>
  <si>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</si>
  <si>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</si>
  <si>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</si>
  <si>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</si>
  <si>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</si>
  <si>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</si>
  <si>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</si>
  <si>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</si>
  <si>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</si>
  <si>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</si>
  <si>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</si>
  <si>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</si>
  <si>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</si>
  <si>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</si>
  <si>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</si>
  <si>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</si>
  <si>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</si>
  <si>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</si>
  <si>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</si>
  <si>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</si>
  <si>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</si>
  <si>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</si>
  <si>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</si>
  <si>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</si>
  <si>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</si>
  <si>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</si>
  <si>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</si>
  <si>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</si>
  <si>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</si>
  <si>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</si>
  <si>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</si>
  <si>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</si>
  <si>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</si>
  <si>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</si>
  <si>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</si>
  <si>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</si>
  <si>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</si>
  <si>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</si>
  <si>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</si>
  <si>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</si>
  <si>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</si>
  <si>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</si>
  <si>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</si>
  <si>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</t>
  </si>
  <si>
    <t>Desacrga de pedro do km 719 ao 717 - e desloca pra TGR</t>
  </si>
  <si>
    <t>MC1 as 11:20h - licença as 11:34h deslocando pro km de descarga</t>
  </si>
  <si>
    <t>Licença as 11:34h deslocando pro km de descarga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</si>
  <si>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</si>
  <si>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</si>
  <si>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</si>
  <si>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</si>
  <si>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</si>
  <si>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</si>
  <si>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</si>
  <si>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</si>
  <si>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</si>
  <si>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</si>
  <si>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</si>
  <si>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</si>
  <si>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</si>
  <si>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</si>
  <si>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</si>
  <si>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</si>
  <si>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</si>
  <si>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</si>
  <si>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</si>
  <si>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</si>
  <si>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</si>
  <si>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</si>
  <si>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</si>
  <si>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</si>
  <si>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</si>
  <si>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</si>
  <si>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</si>
  <si>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</si>
  <si>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</si>
  <si>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</si>
  <si>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</si>
  <si>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</si>
  <si>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</si>
  <si>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</si>
  <si>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</si>
  <si>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</si>
  <si>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</si>
  <si>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</si>
  <si>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TCSTGR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</si>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</sst>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G257" activePane="bottomRight" state="frozen"/>
      <selection pane="bottomRight" activeCell="Q267" sqref="Q2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1488</v>
      </c>
      <c r="BK234" s="16" t="s">
        <v>1489</v>
      </c>
      <c r="BL234" s="15"/>
      <c r="BM234" s="14"/>
      <c r="BN234" s="14"/>
      <c r="BO234" s="160"/>
      <c r="BP234" s="16"/>
      <c r="BQ234" s="12" t="str">
        <f t="shared" si="32"/>
        <v>Produção</v>
      </c>
      <c r="BR234" s="18">
        <f t="shared" si="33"/>
        <v>0.99999999999999978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1493</v>
      </c>
      <c r="BK236" s="16" t="s">
        <v>1494</v>
      </c>
      <c r="BL236" s="15"/>
      <c r="BM236" s="14"/>
      <c r="BN236" s="14"/>
      <c r="BO236" s="160"/>
      <c r="BP236" s="16"/>
      <c r="BQ236" s="12" t="e">
        <f t="shared" si="32"/>
        <v>#VALUE!</v>
      </c>
      <c r="BR236" s="18" t="e">
        <f t="shared" si="33"/>
        <v>#VALUE!</v>
      </c>
      <c r="BS236" s="18">
        <f t="shared" si="34"/>
        <v>0</v>
      </c>
      <c r="BT236" s="220" t="str">
        <f>IF(BN236="","",SUBSTITUTE(BM236," ","")&amp;SUBSTITUTE(BN236," ",""))</f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1284</v>
      </c>
      <c r="W243" s="168" t="s">
        <v>1309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>
        <v>0.45069444444444445</v>
      </c>
      <c r="AT243" s="38">
        <v>0.53402777777777777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8.3333333333333315E-2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2</v>
      </c>
      <c r="BI243" s="16"/>
      <c r="BJ243" s="16" t="s">
        <v>1495</v>
      </c>
      <c r="BK243" s="16" t="s">
        <v>1496</v>
      </c>
      <c r="BL243" s="15"/>
      <c r="BM243" s="14" t="s">
        <v>992</v>
      </c>
      <c r="BN243" s="14" t="s">
        <v>1021</v>
      </c>
      <c r="BO243" s="160" t="s">
        <v>1130</v>
      </c>
      <c r="BP243" s="16"/>
      <c r="BQ243" s="12" t="str">
        <f t="shared" si="32"/>
        <v>Intervalo</v>
      </c>
      <c r="BR243" s="18">
        <f t="shared" si="33"/>
        <v>0.66666666666666652</v>
      </c>
      <c r="BS243" s="18">
        <f t="shared" si="34"/>
        <v>1</v>
      </c>
      <c r="BT243" s="220" t="str">
        <f>IF(BN243="","",SUBSTITUTE(BM243," ","")&amp;SUBSTITUTE(BN243," ",""))</f>
        <v>SuperExecução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1321</v>
      </c>
      <c r="W245" s="168" t="s">
        <v>1468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0</v>
      </c>
      <c r="BI245" s="16"/>
      <c r="BJ245" s="16" t="s">
        <v>1497</v>
      </c>
      <c r="BK245" s="16" t="s">
        <v>1498</v>
      </c>
      <c r="BL245" s="15"/>
      <c r="BM245" s="14" t="s">
        <v>994</v>
      </c>
      <c r="BN245" s="14" t="s">
        <v>1012</v>
      </c>
      <c r="BO245" s="160" t="s">
        <v>1085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ModernizaçãoEquipamento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1288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1499</v>
      </c>
      <c r="N247" s="199" t="s">
        <v>1500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1315</v>
      </c>
      <c r="W247" s="168" t="s">
        <v>1290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1501</v>
      </c>
      <c r="BK247" s="16" t="s">
        <v>1502</v>
      </c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1503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1504</v>
      </c>
      <c r="J249" s="212">
        <v>78</v>
      </c>
      <c r="K249" s="212">
        <v>334</v>
      </c>
      <c r="L249" s="83" t="s">
        <v>11</v>
      </c>
      <c r="M249" s="199" t="s">
        <v>1505</v>
      </c>
      <c r="N249" s="199" t="s">
        <v>1505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1254</v>
      </c>
      <c r="W249" s="168" t="s">
        <v>1506</v>
      </c>
      <c r="X249" s="213" t="s">
        <v>972</v>
      </c>
      <c r="Y249" s="153" t="s">
        <v>975</v>
      </c>
      <c r="Z249" s="153"/>
      <c r="AA249" s="83" t="s">
        <v>1507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1340</v>
      </c>
      <c r="BK249" s="16" t="s">
        <v>1340</v>
      </c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>IF(BN249="","",SUBSTITUTE(BM249," ","")&amp;SUBSTITUTE(BN249," ",""))</f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1508</v>
      </c>
      <c r="W252" s="168" t="s">
        <v>1309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>
        <v>1</v>
      </c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2</v>
      </c>
      <c r="BI252" s="16"/>
      <c r="BJ252" s="16" t="s">
        <v>1509</v>
      </c>
      <c r="BK252" s="16" t="s">
        <v>1510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0.99999999999999978</v>
      </c>
      <c r="BS252" s="18">
        <f t="shared" si="34"/>
        <v>1</v>
      </c>
      <c r="BT252" s="220" t="str">
        <f t="shared" si="26"/>
        <v>OKOK</v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1511</v>
      </c>
      <c r="W254" s="168" t="s">
        <v>1512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1513</v>
      </c>
      <c r="BK254" s="16" t="s">
        <v>1514</v>
      </c>
      <c r="BL254" s="15"/>
      <c r="BM254" s="14"/>
      <c r="BN254" s="14"/>
      <c r="BO254" s="160"/>
      <c r="BP254" s="16"/>
      <c r="BQ254" s="12" t="str">
        <f t="shared" si="32"/>
        <v>Produção</v>
      </c>
      <c r="BR254" s="18">
        <f t="shared" si="33"/>
        <v>1</v>
      </c>
      <c r="BS254" s="18">
        <f t="shared" si="34"/>
        <v>0</v>
      </c>
      <c r="BT254" s="220" t="str">
        <f>IF(BN254="","",SUBSTITUTE(BM254," ","")&amp;SUBSTITUTE(BN254," ",""))</f>
        <v/>
      </c>
    </row>
    <row r="255" spans="1:72">
      <c r="A255" s="162" t="str">
        <f>D255&amp;B255</f>
        <v>WARLEYSON (TF-29)46035</v>
      </c>
      <c r="B255" s="163">
        <v>46035</v>
      </c>
      <c r="C255" s="8">
        <f>IF(BS_CONTROLE[[#This Row],[DATA]]="","",WEEKNUM(BS_CONTROLE[[#This Row],[DATA]]))</f>
        <v>3</v>
      </c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1474</v>
      </c>
      <c r="W255" s="324" t="s">
        <v>1515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PDM - SUBSTITUIÇÃO - TRILHO</v>
      </c>
      <c r="AJ255" s="9" t="str">
        <f>IF(D255="","*",VLOOKUP(AI255,BS_ATIVIDADE[#Data],3,FALSE))</f>
        <v>TRILHO - SUBSTITUIÇÂO</v>
      </c>
      <c r="AK255" s="279" t="str">
        <f>IF(BS_CONTROLE[[#This Row],[Local - Partida]]=0, "-", BS_CONTROLE[[#This Row],[Local - Partida]])</f>
        <v>PPPPPO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PPP-PPO</v>
      </c>
      <c r="AN255" s="279" t="str">
        <f>IF(BS_CONTROLE[[#This Row],[SB]]=0, "-", BS_CONTROLE[[#This Row],[SB]])</f>
        <v>PPPPPO</v>
      </c>
      <c r="AO255" s="280">
        <f>IF(BS_CONTROLE[[#This Row],[SUB]]=0, "-", BS_CONTROLE[[#This Row],[SUB]])</f>
        <v>101</v>
      </c>
      <c r="AP255" s="281">
        <f>IF(BS_CONTROLE[[#This Row],[KM - Inicio]]=0, "-", BS_CONTROLE[[#This Row],[KM - Inicio]])</f>
        <v>1140.2819999999999</v>
      </c>
      <c r="AQ255" s="281" t="str">
        <f>IF(BS_CONTROLE[[#This Row],[KM - Fim]]=0, "-", BS_CONTROLE[[#This Row],[KM - Fim]])</f>
        <v>-</v>
      </c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>
        <f t="shared" ref="AY255:AY256" si="35">IF(D255="","*",IFERROR(IF(ISODD(COUNT(AS255:AX255)),"ERRO",SUM((AT255-AS255),(AV255-AU255),(AX255-AW255))),"ERRO"))</f>
        <v>0.125</v>
      </c>
      <c r="AZ255" s="13"/>
      <c r="BA255" s="71">
        <v>9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BASE_MAPA!$E$2:$E$359, BASE_MAPA!$J$2:$J$359), "ERRO")</f>
        <v>PORTO NACIONAL - OURO VERDE</v>
      </c>
      <c r="BF255" s="282" t="str">
        <f>IF(BS_CONTROLE[[#This Row],[Responsavel pelo boletim]]=0, "-", BS_CONTROLE[[#This Row],[Responsavel pelo boletim]])</f>
        <v>Warley</v>
      </c>
      <c r="BG255" s="15"/>
      <c r="BH255" s="16">
        <v>2</v>
      </c>
      <c r="BI255" s="16"/>
      <c r="BJ255" s="330" t="s">
        <v>1516</v>
      </c>
      <c r="BK255" s="16" t="s">
        <v>1517</v>
      </c>
      <c r="BL255" s="15"/>
      <c r="BM255" s="14" t="s">
        <v>996</v>
      </c>
      <c r="BN255" s="14" t="s">
        <v>996</v>
      </c>
      <c r="BO255" s="160" t="s">
        <v>996</v>
      </c>
      <c r="BP255" s="16"/>
      <c r="BQ255" s="12" t="str">
        <f t="shared" ref="BQ255" si="36">IF(AND(BR255&lt;1,BS255&lt;1),"Produção e Intervalo",IF(BR255&lt;1,"Intervalo",IF(BS255&lt;1,"Produção","Aderente")))</f>
        <v>Aderente</v>
      </c>
      <c r="BR255" s="18">
        <f t="shared" ref="BR255" si="37">IF(OR(B255="",F255=""),"*",AY255/P255)</f>
        <v>1</v>
      </c>
      <c r="BS255" s="18">
        <f t="shared" ref="BS255" si="38">IF(OR(B255="",F255=""),"*",BA255/Q255)</f>
        <v>1.125</v>
      </c>
      <c r="BT255" s="220" t="str">
        <f>IF(BN255="","",SUBSTITUTE(BM255," ","")&amp;SUBSTITUTE(BN255," ",""))</f>
        <v>OKOK</v>
      </c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1518</v>
      </c>
      <c r="W256" s="168" t="s">
        <v>1512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 t="shared" si="35"/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>
        <v>1</v>
      </c>
      <c r="BI256" s="16"/>
      <c r="BJ256" s="16" t="s">
        <v>1519</v>
      </c>
      <c r="BK256" s="16" t="s">
        <v>1520</v>
      </c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>IF(BN256="","",SUBSTITUTE(BM256," ","")&amp;SUBSTITUTE(BN256," ",""))</f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1521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1382</v>
      </c>
      <c r="W257" s="168" t="s">
        <v>1512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>
        <v>0.41944444444444445</v>
      </c>
      <c r="AS257" s="38">
        <v>0</v>
      </c>
      <c r="AT257" s="38">
        <v>4.1666666666666664E-2</v>
      </c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4.1666666666666664E-2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>
        <v>1</v>
      </c>
      <c r="BI257" s="16"/>
      <c r="BJ257" s="16" t="s">
        <v>1522</v>
      </c>
      <c r="BK257" s="16" t="s">
        <v>1523</v>
      </c>
      <c r="BL257" s="15"/>
      <c r="BM257" s="14"/>
      <c r="BN257" s="14"/>
      <c r="BO257" s="160"/>
      <c r="BP257" s="16"/>
      <c r="BQ257" s="12" t="str">
        <f t="shared" si="32"/>
        <v>Produção</v>
      </c>
      <c r="BR257" s="18">
        <f t="shared" si="33"/>
        <v>1</v>
      </c>
      <c r="BS257" s="18">
        <f t="shared" si="34"/>
        <v>0</v>
      </c>
      <c r="BT257" s="220" t="str">
        <f>IF(BN257="","",SUBSTITUTE(BM257," ","")&amp;SUBSTITUTE(BN257," ",""))</f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>V8646036</v>
      </c>
      <c r="B264" s="166">
        <v>46036</v>
      </c>
      <c r="C264" s="8">
        <f>IF(BS_CONTROLE[[#This Row],[DATA]]="","",WEEKNUM(BS_CONTROLE[[#This Row],[DATA]]))</f>
        <v>3</v>
      </c>
      <c r="D264" s="51" t="s">
        <v>215</v>
      </c>
      <c r="E264" s="314">
        <v>262</v>
      </c>
      <c r="F264" s="167" t="s">
        <v>117</v>
      </c>
      <c r="G264" s="9" t="str">
        <f>IF(D264="","*",VLOOKUP(F264,BS_ATIVIDADE[#All],3,FALSE))</f>
        <v>MECANIZAÇÃO - SOCADORA</v>
      </c>
      <c r="H264" s="168" t="s">
        <v>433</v>
      </c>
      <c r="I264" s="168" t="s">
        <v>433</v>
      </c>
      <c r="J264" s="212">
        <v>98</v>
      </c>
      <c r="K264" s="212">
        <v>741</v>
      </c>
      <c r="L264" s="83">
        <v>744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4" s="199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4" s="168"/>
      <c r="P264" s="168"/>
      <c r="Q264" s="83"/>
      <c r="R264" s="10" t="str">
        <f>IFERROR(_xlfn.XLOOKUP(F264, BS_ATIVIDADE[ATIVIDADE],BS_ATIVIDADE[UNIDADE] ), "*")</f>
        <v>M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0" t="str">
        <f>IFERROR(_xlfn.XLOOKUP(J264, BASE_MAPA!$E$2:$E$359, BASE_MAPA!$J$2:$J$359), "ERRO")</f>
        <v>ALTO ARAGUAIA - RONDONOPOLIS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9" t="str">
        <f>IF(BS_CONTROLE[[#This Row],[Local - Partida]]=0, "-", BS_CONTROLE[[#This Row],[Local - Partida]])</f>
        <v>TSF1</v>
      </c>
      <c r="AL264" s="279" t="str">
        <f>IF(BS_CONTROLE[[#This Row],[Local - Encerramento]]=0, "-", BS_CONTROLE[[#This Row],[Local - Encerramento]])</f>
        <v>TSF1</v>
      </c>
      <c r="AM264" s="279" t="str">
        <f>IF(BS_CONTROLE[[#This Row],[Entre - Estações]]=0, "-", BS_CONTROLE[[#This Row],[Entre - Estações]])</f>
        <v>TSF-TRO</v>
      </c>
      <c r="AN264" s="279">
        <f>IF(BS_CONTROLE[[#This Row],[SB]]=0, "-", BS_CONTROLE[[#This Row],[SB]])</f>
        <v>732744</v>
      </c>
      <c r="AO264" s="280">
        <f>IF(BS_CONTROLE[[#This Row],[SUB]]=0, "-", BS_CONTROLE[[#This Row],[SUB]])</f>
        <v>98</v>
      </c>
      <c r="AP264" s="281">
        <f>IF(BS_CONTROLE[[#This Row],[KM - Inicio]]=0, "-", BS_CONTROLE[[#This Row],[KM - Inicio]])</f>
        <v>741</v>
      </c>
      <c r="AQ264" s="281">
        <f>IF(BS_CONTROLE[[#This Row],[KM - Fim]]=0, "-", BS_CONTROLE[[#This Row],[KM - Fim]])</f>
        <v>744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e">
        <f t="shared" si="32"/>
        <v>#DIV/0!</v>
      </c>
      <c r="BR264" s="18" t="e">
        <f t="shared" si="33"/>
        <v>#DIV/0!</v>
      </c>
      <c r="BS264" s="18" t="e">
        <f t="shared" si="34"/>
        <v>#DIV/0!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E4646036</v>
      </c>
      <c r="B267" s="166">
        <v>46036</v>
      </c>
      <c r="C267" s="8">
        <f>IF(BS_CONTROLE[[#This Row],[DATA]]="","",WEEKNUM(BS_CONTROLE[[#This Row],[DATA]]))</f>
        <v>3</v>
      </c>
      <c r="D267" s="51" t="s">
        <v>159</v>
      </c>
      <c r="E267" s="314">
        <v>265</v>
      </c>
      <c r="F267" s="167" t="s">
        <v>79</v>
      </c>
      <c r="G267" s="9" t="str">
        <f>IF(D267="","*",VLOOKUP(F267,BS_ATIVIDADE[#All],3,FALSE))</f>
        <v>TRILHEIRO - DESCARGA</v>
      </c>
      <c r="H267" s="396" t="s">
        <v>410</v>
      </c>
      <c r="I267" s="168"/>
      <c r="J267" s="212">
        <v>98</v>
      </c>
      <c r="K267" s="212">
        <v>564</v>
      </c>
      <c r="L267" s="83">
        <v>531.5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7" s="168"/>
      <c r="P267" s="168">
        <v>0.125</v>
      </c>
      <c r="Q267" s="83"/>
      <c r="R267" s="10" t="str">
        <f>IFERROR(_xlfn.XLOOKUP(F267, BS_ATIVIDADE[ATIVIDADE],BS_ATIVIDADE[UNIDADE] ), "*")</f>
        <v>M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TRILHEIRO - DESCARGA</v>
      </c>
      <c r="AJ267" s="9" t="str">
        <f>IF(D267="","*",VLOOKUP(AI267,BS_ATIVIDADE[#Data],3,FALSE))</f>
        <v>TRILHEIRO - DESCARGA</v>
      </c>
      <c r="AK267" s="279" t="str">
        <f>IF(BS_CONTROLE[[#This Row],[Local - Partida]]=0, "-", BS_CONTROLE[[#This Row],[Local - Partida]])</f>
        <v>TIQ1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TEP</v>
      </c>
      <c r="AN267" s="279" t="str">
        <f>IF(BS_CONTROLE[[#This Row],[SB]]=0, "-", BS_CONTROLE[[#This Row],[SB]])</f>
        <v>TEP1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564</v>
      </c>
      <c r="AQ267" s="281">
        <f>IF(BS_CONTROLE[[#This Row],[KM - Fim]]=0, "-", BS_CONTROLE[[#This Row],[KM - Fim]])</f>
        <v>531.5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M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e">
        <f t="shared" si="32"/>
        <v>#DIV/0!</v>
      </c>
      <c r="BR267" s="18">
        <f t="shared" si="33"/>
        <v>0</v>
      </c>
      <c r="BS267" s="18" t="e">
        <f t="shared" si="34"/>
        <v>#DIV/0!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>W70</v>
      </c>
      <c r="B271" s="166"/>
      <c r="C271" s="8" t="str">
        <f>IF(BS_CONTROLE[[#This Row],[DATA]]="","",WEEKNUM(BS_CONTROLE[[#This Row],[DATA]]))</f>
        <v/>
      </c>
      <c r="D271" s="51" t="s">
        <v>249</v>
      </c>
      <c r="E271" s="315">
        <v>269</v>
      </c>
      <c r="F271" s="167" t="s">
        <v>25</v>
      </c>
      <c r="G271" s="9" t="str">
        <f>IF(D271="","*",VLOOKUP(F271,BS_ATIVIDADE[#All],3,FALSE))</f>
        <v>OUTROS</v>
      </c>
      <c r="H271" s="168" t="s">
        <v>957</v>
      </c>
      <c r="I271" s="168" t="s">
        <v>440</v>
      </c>
      <c r="J271" s="212">
        <v>98</v>
      </c>
      <c r="K271" s="212">
        <v>502</v>
      </c>
      <c r="L271" s="83">
        <v>754</v>
      </c>
      <c r="M271" s="199" t="s">
        <v>375</v>
      </c>
      <c r="N271" s="199" t="s">
        <v>376</v>
      </c>
      <c r="O271" s="168">
        <v>0.79166666666666663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1" s="80" t="str">
        <f>IFERROR(_xlfn.XLOOKUP(J271, BASE_MAPA!$E$2:$E$359, BASE_MAPA!$J$2:$J$359), "ERRO")</f>
        <v>ALTO ARAGUAIA - RONDONOPOLIS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TGR2</v>
      </c>
      <c r="AL271" s="279" t="str">
        <f>IF(BS_CONTROLE[[#This Row],[Local - Encerramento]]=0, "-", BS_CONTROLE[[#This Row],[Local - Encerramento]])</f>
        <v>TRO</v>
      </c>
      <c r="AM271" s="279" t="str">
        <f>IF(BS_CONTROLE[[#This Row],[Entre - Estações]]=0, "-", BS_CONTROLE[[#This Row],[Entre - Estações]])</f>
        <v>TGR-TBE</v>
      </c>
      <c r="AN271" s="279" t="str">
        <f>IF(BS_CONTROLE[[#This Row],[SB]]=0, "-", BS_CONTROLE[[#This Row],[SB]])</f>
        <v>TGR512</v>
      </c>
      <c r="AO271" s="280">
        <f>IF(BS_CONTROLE[[#This Row],[SUB]]=0, "-", BS_CONTROLE[[#This Row],[SUB]])</f>
        <v>98</v>
      </c>
      <c r="AP271" s="281">
        <f>IF(BS_CONTROLE[[#This Row],[KM - Inicio]]=0, "-", BS_CONTROLE[[#This Row],[KM - Inicio]])</f>
        <v>502</v>
      </c>
      <c r="AQ271" s="281">
        <f>IF(BS_CONTROLE[[#This Row],[KM - Fim]]=0, "-", BS_CONTROLE[[#This Row],[KM - Fim]])</f>
        <v>754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1" s="11" t="str">
        <f>IFERROR(_xlfn.XLOOKUP(AO271, BASE_MAPA!$E$2:$E$359, BASE_MAPA!$J$2:$J$359), "ERRO")</f>
        <v>ALTO ARAGUAIA - RONDONOPOLIS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>D275&amp;B275</f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>D276&amp;B276</f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>V66</v>
      </c>
      <c r="B279" s="166"/>
      <c r="C279" s="8" t="str">
        <f>IF(BS_CONTROLE[[#This Row],[DATA]]="","",WEEKNUM(BS_CONTROLE[[#This Row],[DATA]]))</f>
        <v/>
      </c>
      <c r="D279" s="51" t="s">
        <v>190</v>
      </c>
      <c r="E279" s="314">
        <v>277</v>
      </c>
      <c r="F279" s="167"/>
      <c r="G279" s="9" t="e">
        <f>IF(D279="","*",VLOOKUP(F279,BS_ATIVIDADE[#All],3,FALSE))</f>
        <v>#N/A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e">
        <f>IF(D279="","*",VLOOKUP(AI279,BS_ATIVIDADE[#Data],3,FALSE))</f>
        <v>#N/A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9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A6046036</v>
      </c>
      <c r="B284" s="166">
        <v>46036</v>
      </c>
      <c r="C284" s="8">
        <f>IF(BS_CONTROLE[[#This Row],[DATA]]="","",WEEKNUM(BS_CONTROLE[[#This Row],[DATA]]))</f>
        <v>3</v>
      </c>
      <c r="D284" s="51" t="s">
        <v>107</v>
      </c>
      <c r="E284" s="314">
        <v>282</v>
      </c>
      <c r="F284" s="167" t="s">
        <v>33</v>
      </c>
      <c r="G284" s="9" t="str">
        <f>IF(D284="","*",VLOOKUP(F284,BS_ATIVIDADE[#All],3,FALSE))</f>
        <v>DETECÇÃO</v>
      </c>
      <c r="H284" s="168" t="s">
        <v>624</v>
      </c>
      <c r="I284" s="168" t="s">
        <v>957</v>
      </c>
      <c r="J284" s="212">
        <v>74</v>
      </c>
      <c r="K284" s="212">
        <v>291</v>
      </c>
      <c r="L284" s="83" t="s">
        <v>11</v>
      </c>
      <c r="M284" s="199" t="s">
        <v>554</v>
      </c>
      <c r="N284" s="199" t="s">
        <v>1524</v>
      </c>
      <c r="O284" s="168">
        <v>0.33333333333333331</v>
      </c>
      <c r="P284" s="168">
        <v>4.1666666666666664E-2</v>
      </c>
      <c r="Q284" s="83">
        <v>1</v>
      </c>
      <c r="R284" s="10" t="str">
        <f>IFERROR(_xlfn.XLOOKUP(F284, BS_ATIVIDADE[ATIVIDADE],BS_ATIVIDADE[UNIDADE] ), "*")</f>
        <v>KM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0" t="str">
        <f>IFERROR(_xlfn.XLOOKUP(J284, BASE_MAPA!$E$2:$E$359, BASE_MAPA!$J$2:$J$359), "ERRO")</f>
        <v>MARCO INICIAL - ALTO ARAGUAIA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DETECÇÃO - RONDA 7 DIAS</v>
      </c>
      <c r="AJ284" s="9" t="str">
        <f>IF(D284="","*",VLOOKUP(AI284,BS_ATIVIDADE[#Data],3,FALSE))</f>
        <v>DETECÇÃO</v>
      </c>
      <c r="AK284" s="279" t="str">
        <f>IF(BS_CONTROLE[[#This Row],[Local - Partida]]=0, "-", BS_CONTROLE[[#This Row],[Local - Partida]])</f>
        <v>TCS</v>
      </c>
      <c r="AL284" s="279" t="str">
        <f>IF(BS_CONTROLE[[#This Row],[Local - Encerramento]]=0, "-", BS_CONTROLE[[#This Row],[Local - Encerramento]])</f>
        <v>TGR2</v>
      </c>
      <c r="AM284" s="279" t="str">
        <f>IF(BS_CONTROLE[[#This Row],[Entre - Estações]]=0, "-", BS_CONTROLE[[#This Row],[Entre - Estações]])</f>
        <v>TCS-TGR</v>
      </c>
      <c r="AN284" s="279" t="str">
        <f>IF(BS_CONTROLE[[#This Row],[SB]]=0, "-", BS_CONTROLE[[#This Row],[SB]])</f>
        <v>TCSTGR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291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KM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9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9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9"/>
        <v/>
      </c>
    </row>
    <row r="288" spans="1:72" hidden="1">
      <c r="A288" s="50" t="str">
        <f t="shared" si="31"/>
        <v>MARCOS (TF-520)46036</v>
      </c>
      <c r="B288" s="166">
        <v>46036</v>
      </c>
      <c r="C288" s="8">
        <f>IF(BS_CONTROLE[[#This Row],[DATA]]="","",WEEKNUM(BS_CONTROLE[[#This Row],[DATA]]))</f>
        <v>3</v>
      </c>
      <c r="D288" s="51" t="s">
        <v>330</v>
      </c>
      <c r="E288" s="314">
        <v>286</v>
      </c>
      <c r="F288" s="167" t="s">
        <v>194</v>
      </c>
      <c r="G288" s="9" t="str">
        <f>IF(D288="","*",VLOOKUP(F288,BS_ATIVIDADE[#All],3,FALSE))</f>
        <v>SOLDA</v>
      </c>
      <c r="H288" s="168" t="s">
        <v>581</v>
      </c>
      <c r="I288" s="168" t="s">
        <v>11</v>
      </c>
      <c r="J288" s="212">
        <v>74</v>
      </c>
      <c r="K288" s="212">
        <v>63.59</v>
      </c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8" s="168">
        <v>0.41666666666666669</v>
      </c>
      <c r="P288" s="168">
        <v>8.3333333333333329E-2</v>
      </c>
      <c r="Q288" s="83">
        <v>2</v>
      </c>
      <c r="R288" s="10" t="str">
        <f>IFERROR(_xlfn.XLOOKUP(F288, BS_ATIVIDADE[ATIVIDADE],BS_ATIVIDADE[UNIDADE] ), "*")</f>
        <v>Nº DE SOLDA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BASE_MAPA!$E$2:$E$359, BASE_MAPA!$J$2:$J$359), "ERRO")</f>
        <v>MARCO INICIAL - ALTO ARAGUAIA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9" t="str">
        <f>IF(BS_CONTROLE[[#This Row],[Local - Partida]]=0, "-", BS_CONTROLE[[#This Row],[Local - Partida]])</f>
        <v>TQIK73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TQI-TSP</v>
      </c>
      <c r="AN288" s="279" t="str">
        <f>IF(BS_CONTROLE[[#This Row],[SB]]=0, "-", BS_CONTROLE[[#This Row],[SB]])</f>
        <v>TQIK73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63.59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Produção e Intervalo</v>
      </c>
      <c r="BR288" s="18">
        <f t="shared" si="33"/>
        <v>0</v>
      </c>
      <c r="BS288" s="18">
        <f t="shared" si="34"/>
        <v>0</v>
      </c>
      <c r="BT288" s="220" t="str">
        <f t="shared" si="39"/>
        <v/>
      </c>
    </row>
    <row r="289" spans="1:72" hidden="1">
      <c r="A289" s="50" t="str">
        <f t="shared" ref="A289:A297" si="40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41">IF(AND(BR289&lt;1,BS289&lt;1),"Produção e Intervalo",IF(BR289&lt;1,"Intervalo",IF(BS289&lt;1,"Produção","Aderente")))</f>
        <v>Aderente</v>
      </c>
      <c r="BR289" s="18" t="str">
        <f t="shared" ref="BR289:BR297" si="42">IF(OR(B289="",F289=""),"*",AY289/P289)</f>
        <v>*</v>
      </c>
      <c r="BS289" s="18" t="str">
        <f t="shared" ref="BS289:BS297" si="43">IF(OR(B289="",F289=""),"*",BA289/Q289)</f>
        <v>*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si="40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41"/>
        <v>Aderente</v>
      </c>
      <c r="BR294" s="18" t="str">
        <f t="shared" si="42"/>
        <v>*</v>
      </c>
      <c r="BS294" s="18" t="str">
        <f t="shared" si="43"/>
        <v>*</v>
      </c>
      <c r="BT294" s="220" t="str">
        <f t="shared" si="39"/>
        <v/>
      </c>
    </row>
    <row r="295" spans="1:72" hidden="1">
      <c r="A295" s="50" t="str">
        <f t="shared" si="40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1"/>
        <v>Aderente</v>
      </c>
      <c r="BR295" s="18" t="str">
        <f t="shared" si="42"/>
        <v>*</v>
      </c>
      <c r="BS295" s="18" t="str">
        <f t="shared" si="43"/>
        <v>*</v>
      </c>
      <c r="BT295" s="220" t="str">
        <f t="shared" si="39"/>
        <v/>
      </c>
    </row>
    <row r="296" spans="1:72" hidden="1">
      <c r="A296" s="50" t="str">
        <f t="shared" si="40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1"/>
        <v>Aderente</v>
      </c>
      <c r="BR296" s="18" t="str">
        <f t="shared" si="42"/>
        <v>*</v>
      </c>
      <c r="BS296" s="18" t="str">
        <f t="shared" si="43"/>
        <v>*</v>
      </c>
      <c r="BT296" s="220" t="str">
        <f t="shared" si="39"/>
        <v/>
      </c>
    </row>
    <row r="297" spans="1:72" hidden="1">
      <c r="A297" s="50" t="str">
        <f t="shared" si="40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1"/>
        <v>Aderente</v>
      </c>
      <c r="BR297" s="18" t="str">
        <f t="shared" si="42"/>
        <v>*</v>
      </c>
      <c r="BS297" s="18" t="str">
        <f t="shared" si="43"/>
        <v>*</v>
      </c>
      <c r="BT297" s="220" t="str">
        <f t="shared" si="39"/>
        <v/>
      </c>
    </row>
    <row r="298" spans="1:72" hidden="1">
      <c r="A298" s="50" t="str">
        <f t="shared" ref="A298:A361" si="44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5">IF(AND(BR298&lt;1,BS298&lt;1),"Produção e Intervalo",IF(BR298&lt;1,"Intervalo",IF(BS298&lt;1,"Produção","Aderente")))</f>
        <v>Aderente</v>
      </c>
      <c r="BR298" s="18" t="str">
        <f t="shared" ref="BR298:BR361" si="46">IF(OR(B298="",F298=""),"*",AY298/P298)</f>
        <v>*</v>
      </c>
      <c r="BS298" s="18" t="str">
        <f t="shared" ref="BS298:BS361" si="47">IF(OR(B298="",F298=""),"*",BA298/Q298)</f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idden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t="16.5" hidden="1" customHeight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si="39"/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39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39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39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ref="BT343:BT406" si="48">IF(BN343="","",SUBSTITUTE(BM343," ","")&amp;SUBSTITUTE(BN343," ",""))</f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si="44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5"/>
        <v>Aderente</v>
      </c>
      <c r="BR358" s="18" t="str">
        <f t="shared" si="46"/>
        <v>*</v>
      </c>
      <c r="BS358" s="18" t="str">
        <f t="shared" si="47"/>
        <v>*</v>
      </c>
      <c r="BT358" s="220" t="str">
        <f t="shared" si="48"/>
        <v/>
      </c>
    </row>
    <row r="359" spans="1:72" hidden="1">
      <c r="A359" s="50" t="str">
        <f t="shared" si="44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5"/>
        <v>Aderente</v>
      </c>
      <c r="BR359" s="18" t="str">
        <f t="shared" si="46"/>
        <v>*</v>
      </c>
      <c r="BS359" s="18" t="str">
        <f t="shared" si="47"/>
        <v>*</v>
      </c>
      <c r="BT359" s="220" t="str">
        <f t="shared" si="48"/>
        <v/>
      </c>
    </row>
    <row r="360" spans="1:72" hidden="1">
      <c r="A360" s="50" t="str">
        <f t="shared" si="44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5"/>
        <v>Aderente</v>
      </c>
      <c r="BR360" s="18" t="str">
        <f t="shared" si="46"/>
        <v>*</v>
      </c>
      <c r="BS360" s="18" t="str">
        <f t="shared" si="47"/>
        <v>*</v>
      </c>
      <c r="BT360" s="220" t="str">
        <f t="shared" si="48"/>
        <v/>
      </c>
    </row>
    <row r="361" spans="1:72" hidden="1">
      <c r="A361" s="50" t="str">
        <f t="shared" si="44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5"/>
        <v>Aderente</v>
      </c>
      <c r="BR361" s="18" t="str">
        <f t="shared" si="46"/>
        <v>*</v>
      </c>
      <c r="BS361" s="18" t="str">
        <f t="shared" si="47"/>
        <v>*</v>
      </c>
      <c r="BT361" s="220" t="str">
        <f t="shared" si="48"/>
        <v/>
      </c>
    </row>
    <row r="362" spans="1:72" hidden="1">
      <c r="A362" s="50" t="str">
        <f t="shared" ref="A362:A425" si="49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50">IF(AND(BR362&lt;1,BS362&lt;1),"Produção e Intervalo",IF(BR362&lt;1,"Intervalo",IF(BS362&lt;1,"Produção","Aderente")))</f>
        <v>Aderente</v>
      </c>
      <c r="BR362" s="18" t="str">
        <f t="shared" ref="BR362:BR425" si="51">IF(OR(B362="",F362=""),"*",AY362/P362)</f>
        <v>*</v>
      </c>
      <c r="BS362" s="18" t="str">
        <f t="shared" ref="BS362:BS425" si="52">IF(OR(B362="",F362=""),"*",BA362/Q362)</f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idden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t="29.25" hidden="1" customHeight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si="48"/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48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48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48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ref="BT407:BT430" si="53">IF(BN407="","",SUBSTITUTE(BM407," ","")&amp;SUBSTITUTE(BN407," ",""))</f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si="49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0" t="str">
        <f t="shared" si="53"/>
        <v/>
      </c>
    </row>
    <row r="423" spans="1:72" hidden="1">
      <c r="A423" s="50" t="str">
        <f t="shared" si="49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0" t="str">
        <f t="shared" si="53"/>
        <v/>
      </c>
    </row>
    <row r="424" spans="1:72" hidden="1">
      <c r="A424" s="50" t="str">
        <f t="shared" si="49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0" t="str">
        <f t="shared" si="53"/>
        <v/>
      </c>
    </row>
    <row r="425" spans="1:72" hidden="1">
      <c r="A425" s="50" t="str">
        <f t="shared" si="49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0" t="str">
        <f t="shared" si="53"/>
        <v/>
      </c>
    </row>
    <row r="426" spans="1:72" hidden="1">
      <c r="A426" s="50" t="str">
        <f t="shared" ref="A426:A489" si="54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5">IF(AND(BR426&lt;1,BS426&lt;1),"Produção e Intervalo",IF(BR426&lt;1,"Intervalo",IF(BS426&lt;1,"Produção","Aderente")))</f>
        <v>Aderente</v>
      </c>
      <c r="BR426" s="18" t="str">
        <f t="shared" ref="BR426:BR489" si="56">IF(OR(B426="",F426=""),"*",AY426/P426)</f>
        <v>*</v>
      </c>
      <c r="BS426" s="18" t="str">
        <f t="shared" ref="BS426:BS489" si="57">IF(OR(B426="",F426=""),"*",BA426/Q426)</f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si="53"/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/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3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3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ref="BT431:BT471" si="58">IF(BN431="","",SUBSTITUTE(BM431," ","")&amp;SUBSTITUTE(BN431," ",""))</f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50" t="str">
        <f t="shared" si="54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5"/>
        <v>Aderente</v>
      </c>
      <c r="BR444" s="18" t="str">
        <f t="shared" si="56"/>
        <v>*</v>
      </c>
      <c r="BS444" s="18" t="str">
        <f t="shared" si="57"/>
        <v>*</v>
      </c>
      <c r="BT444" s="220" t="str">
        <f t="shared" si="58"/>
        <v/>
      </c>
    </row>
    <row r="445" spans="1:72" hidden="1">
      <c r="A445" s="50" t="str">
        <f t="shared" si="54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5"/>
        <v>Aderente</v>
      </c>
      <c r="BR445" s="18" t="str">
        <f t="shared" si="56"/>
        <v>*</v>
      </c>
      <c r="BS445" s="18" t="str">
        <f t="shared" si="57"/>
        <v>*</v>
      </c>
      <c r="BT445" s="220" t="str">
        <f t="shared" si="58"/>
        <v/>
      </c>
    </row>
    <row r="446" spans="1:72" hidden="1">
      <c r="A446" s="50" t="str">
        <f t="shared" si="54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5"/>
        <v>Aderente</v>
      </c>
      <c r="BR446" s="18" t="str">
        <f t="shared" si="56"/>
        <v>*</v>
      </c>
      <c r="BS446" s="18" t="str">
        <f t="shared" si="57"/>
        <v>*</v>
      </c>
      <c r="BT446" s="220" t="str">
        <f t="shared" si="58"/>
        <v/>
      </c>
    </row>
    <row r="447" spans="1:72" hidden="1">
      <c r="A447" s="50" t="str">
        <f t="shared" si="54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5"/>
        <v>Aderente</v>
      </c>
      <c r="BR447" s="18" t="str">
        <f t="shared" si="56"/>
        <v>*</v>
      </c>
      <c r="BS447" s="18" t="str">
        <f t="shared" si="57"/>
        <v>*</v>
      </c>
      <c r="BT447" s="220" t="str">
        <f t="shared" si="58"/>
        <v/>
      </c>
    </row>
    <row r="448" spans="1:72" hidden="1">
      <c r="A448" s="162" t="str">
        <f t="shared" ref="A448:A450" si="59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59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59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ref="A451:A514" si="60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8"/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8"/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8"/>
        <v/>
      </c>
    </row>
    <row r="471" spans="1:72" hidden="1">
      <c r="A471" s="162" t="str">
        <f t="shared" si="60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8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61">IF(BN472="","",SUBSTITUTE(BM472," ","")&amp;SUBSTITUTE(BN472," ",""))</f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62">IF(BN473="","",SUBSTITUTE(BM473," ","")&amp;SUBSTITUTE(BN473," ",""))</f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si="60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0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0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0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ref="A515:A549" si="63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62"/>
        <v/>
      </c>
    </row>
    <row r="516" spans="1:72" hidden="1">
      <c r="A516" s="162" t="str">
        <f t="shared" si="63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62"/>
        <v/>
      </c>
    </row>
    <row r="517" spans="1:72" hidden="1">
      <c r="A517" s="162" t="str">
        <f t="shared" si="63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62"/>
        <v/>
      </c>
    </row>
    <row r="518" spans="1:72" hidden="1">
      <c r="A518" s="162" t="str">
        <f t="shared" si="63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62"/>
        <v/>
      </c>
    </row>
    <row r="519" spans="1:72" hidden="1">
      <c r="A519" s="162" t="str">
        <f t="shared" si="63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63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63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63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63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63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6 AY6:AY596 BE6:BE596">
    <cfRule type="cellIs" dxfId="139" priority="18392" operator="equal">
      <formula>"ERRO"</formula>
    </cfRule>
  </conditionalFormatting>
  <conditionalFormatting sqref="X4 Y472:Y547 Y1:Z471">
    <cfRule type="cellIs" dxfId="138" priority="18381" operator="equal">
      <formula>"OPORTUNIDADE"</formula>
    </cfRule>
  </conditionalFormatting>
  <conditionalFormatting sqref="AZ6:AZ519">
    <cfRule type="expression" dxfId="137" priority="18376">
      <formula>$BU6=1</formula>
    </cfRule>
  </conditionalFormatting>
  <conditionalFormatting sqref="BQ6:BQ596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9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72:X519 Y472:Y547 Y6:Z471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72:X519">
    <cfRule type="cellIs" dxfId="126" priority="18316" operator="equal">
      <formula>"OPORTUNIDADE"</formula>
    </cfRule>
  </conditionalFormatting>
  <conditionalFormatting sqref="Z472:Z519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72:Z519">
    <cfRule type="cellIs" dxfId="123" priority="18313" operator="equal">
      <formula>"OPORTUNIDADE"</formula>
    </cfRule>
  </conditionalFormatting>
  <conditionalFormatting sqref="Y1048572:Y1048576">
    <cfRule type="cellIs" dxfId="122" priority="18198" operator="equal">
      <formula>"OPORTUNIDADE"</formula>
    </cfRule>
  </conditionalFormatting>
  <conditionalFormatting sqref="Y1048572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20:Z545">
    <cfRule type="cellIs" dxfId="119" priority="17933" operator="equal">
      <formula>"OPORTUNIDADE"</formula>
    </cfRule>
  </conditionalFormatting>
  <conditionalFormatting sqref="Z520:Z545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6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6">
    <cfRule type="cellIs" dxfId="114" priority="17918" operator="equal">
      <formula>"OPORTUNIDADE"</formula>
    </cfRule>
  </conditionalFormatting>
  <conditionalFormatting sqref="Z546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6">
    <cfRule type="cellIs" dxfId="111" priority="17915" operator="equal">
      <formula>"OPORTUNIDADE"</formula>
    </cfRule>
  </conditionalFormatting>
  <conditionalFormatting sqref="BI546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5">
      <formula>$BU489=1</formula>
    </cfRule>
  </conditionalFormatting>
  <conditionalFormatting sqref="AZ522:AZ546">
    <cfRule type="expression" dxfId="109" priority="18695">
      <formula>$BU494=1</formula>
    </cfRule>
  </conditionalFormatting>
  <conditionalFormatting sqref="BI520:BI545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4">
      <iconSet showValue="0">
        <cfvo type="percent" val="0"/>
        <cfvo type="num" val="1"/>
        <cfvo type="num" val="1" gte="0"/>
      </iconSet>
    </cfRule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J6:BJ38 BJ40:BJ596 BK249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50:BK596 BK224:BK248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F6:F548 AI6:AI549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1525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1526</v>
      </c>
      <c r="E3" s="316" t="s">
        <v>1527</v>
      </c>
      <c r="F3" s="316" t="s">
        <v>1528</v>
      </c>
      <c r="G3" s="316" t="s">
        <v>1529</v>
      </c>
      <c r="H3" s="316" t="s">
        <v>1530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1533</v>
      </c>
      <c r="W1" s="385"/>
      <c r="X1" s="385"/>
      <c r="Y1" s="103"/>
    </row>
    <row r="2" spans="1:25" s="100" customFormat="1" ht="11.25" customHeight="1">
      <c r="A2" s="104" t="s">
        <v>1534</v>
      </c>
      <c r="B2" s="104" t="s">
        <v>1535</v>
      </c>
      <c r="C2" s="104" t="s">
        <v>7</v>
      </c>
      <c r="D2" s="105" t="s">
        <v>1177</v>
      </c>
      <c r="E2" s="105" t="s">
        <v>1178</v>
      </c>
      <c r="F2" s="105" t="s">
        <v>1536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1537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FERRONORTE</v>
      </c>
      <c r="E261" s="109" t="str">
        <f>IF(FN_MC!T264="","*",FN_MC!T264)</f>
        <v>TGR-TRO</v>
      </c>
      <c r="F261" s="109">
        <f>IF(FN_MC!B264="","*",FN_MC!B264)</f>
        <v>46036</v>
      </c>
      <c r="G261" s="109" t="str">
        <f>IF(FN_MC!D264="","*",FN_MC!D264)</f>
        <v>V86</v>
      </c>
      <c r="H261" s="109" t="str">
        <f>IF(FN_MC!F264="","*",FN_MC!F264)</f>
        <v>MECANIZAÇÃO - SOCADORA</v>
      </c>
      <c r="I261" s="109" t="str">
        <f>IF(FN_MC!H264="","*",FN_MC!H264)</f>
        <v>TSF1</v>
      </c>
      <c r="J261" s="109" t="str">
        <f>IF(FN_MC!I264="","*",FN_MC!I264)</f>
        <v>TSF1</v>
      </c>
      <c r="K261" s="109" t="str">
        <f>IF(FN_MC!M264="","*",FN_MC!M264)</f>
        <v>TSF-TRO</v>
      </c>
      <c r="L261" s="328">
        <f>IF(FN_MC!N264="","*",FN_MC!N264)</f>
        <v>732744</v>
      </c>
      <c r="M261" s="110">
        <f>IF(FN_MC!J264="","*",FN_MC!J264)</f>
        <v>98</v>
      </c>
      <c r="N261" s="291">
        <f>IF(FN_MC!K264="","*",FN_MC!K264)</f>
        <v>741</v>
      </c>
      <c r="O261" s="291">
        <f>IF(FN_MC!L264="","*",FN_MC!L264)</f>
        <v>744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FERRONORTE</v>
      </c>
      <c r="E264" s="109" t="str">
        <f>IF(FN_MC!T267="","*",FN_MC!T267)</f>
        <v>TGR-TRO</v>
      </c>
      <c r="F264" s="109">
        <f>IF(FN_MC!B267="","*",FN_MC!B267)</f>
        <v>46036</v>
      </c>
      <c r="G264" s="109" t="str">
        <f>IF(FN_MC!D267="","*",FN_MC!D267)</f>
        <v>E46</v>
      </c>
      <c r="H264" s="109" t="str">
        <f>IF(FN_MC!F267="","*",FN_MC!F267)</f>
        <v>TRILHEIRO - DESCARGA</v>
      </c>
      <c r="I264" s="109" t="str">
        <f>IF(FN_MC!H267="","*",FN_MC!H267)</f>
        <v>TIQ1</v>
      </c>
      <c r="J264" s="109" t="str">
        <f>IF(FN_MC!I267="","*",FN_MC!I267)</f>
        <v>*</v>
      </c>
      <c r="K264" s="109" t="str">
        <f>IF(FN_MC!M267="","*",FN_MC!M267)</f>
        <v>TEP</v>
      </c>
      <c r="L264" s="328" t="str">
        <f>IF(FN_MC!N267="","*",FN_MC!N267)</f>
        <v>TEP1</v>
      </c>
      <c r="M264" s="110">
        <f>IF(FN_MC!J267="","*",FN_MC!J267)</f>
        <v>98</v>
      </c>
      <c r="N264" s="291">
        <f>IF(FN_MC!K267="","*",FN_MC!K267)</f>
        <v>564</v>
      </c>
      <c r="O264" s="291">
        <f>IF(FN_MC!L267="","*",FN_MC!L267)</f>
        <v>531.5</v>
      </c>
      <c r="P264" s="110"/>
      <c r="Q264" s="127" t="str">
        <f>IF(FN_MC!O267="","*",FN_MC!O267)</f>
        <v>*</v>
      </c>
      <c r="R264" s="127">
        <f>IF(FN_MC!P267="","*",FN_MC!P267)</f>
        <v>0.125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FERRONORTE</v>
      </c>
      <c r="E268" s="109" t="str">
        <f>IF(FN_MC!T271="","*",FN_MC!T271)</f>
        <v>TGR-TRO</v>
      </c>
      <c r="F268" s="109" t="str">
        <f>IF(FN_MC!B271="","*",FN_MC!B271)</f>
        <v>*</v>
      </c>
      <c r="G268" s="109" t="str">
        <f>IF(FN_MC!D271="","*",FN_MC!D271)</f>
        <v>W70</v>
      </c>
      <c r="H268" s="109" t="str">
        <f>IF(FN_MC!F271="","*",FN_MC!F271)</f>
        <v>DESLOCAMENTO</v>
      </c>
      <c r="I268" s="109" t="str">
        <f>IF(FN_MC!H271="","*",FN_MC!H271)</f>
        <v>TGR2</v>
      </c>
      <c r="J268" s="109" t="str">
        <f>IF(FN_MC!I271="","*",FN_MC!I271)</f>
        <v>TRO</v>
      </c>
      <c r="K268" s="109" t="str">
        <f>IF(FN_MC!M271="","*",FN_MC!M271)</f>
        <v>TGR-TBE</v>
      </c>
      <c r="L268" s="328" t="str">
        <f>IF(FN_MC!N271="","*",FN_MC!N271)</f>
        <v>TGR512</v>
      </c>
      <c r="M268" s="110">
        <f>IF(FN_MC!J271="","*",FN_MC!J271)</f>
        <v>98</v>
      </c>
      <c r="N268" s="291">
        <f>IF(FN_MC!K271="","*",FN_MC!K271)</f>
        <v>502</v>
      </c>
      <c r="O268" s="291">
        <f>IF(FN_MC!L271="","*",FN_MC!L271)</f>
        <v>754</v>
      </c>
      <c r="P268" s="110"/>
      <c r="Q268" s="127">
        <f>IF(FN_MC!O271="","*",FN_MC!O271)</f>
        <v>0.79166666666666663</v>
      </c>
      <c r="R268" s="127">
        <f>IF(FN_MC!P271="","*",FN_MC!P271)</f>
        <v>4.1666666666666664E-2</v>
      </c>
      <c r="S268" s="109" t="str">
        <f>IF(FN_MC!Q271="","*",CONCATENATE(FN_MC!Q271," ",FN_MC!R271))</f>
        <v>1 BINÁRIO</v>
      </c>
      <c r="T268" s="109" t="str">
        <f>IF(FN_MC!V271="","*",FN_MC!V271)</f>
        <v>*</v>
      </c>
      <c r="U268" s="109" t="str">
        <f>IF(FN_MC!W271="","*",FN_MC!W271)</f>
        <v>*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V66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TCS-TGR</v>
      </c>
      <c r="F281" s="109">
        <f>IF(FN_MC!B284="","*",FN_MC!B284)</f>
        <v>46036</v>
      </c>
      <c r="G281" s="109" t="str">
        <f>IF(FN_MC!D284="","*",FN_MC!D284)</f>
        <v>A60</v>
      </c>
      <c r="H281" s="109" t="str">
        <f>IF(FN_MC!F284="","*",FN_MC!F284)</f>
        <v>DETECÇÃO - RONDA 7 DIAS</v>
      </c>
      <c r="I281" s="109" t="str">
        <f>IF(FN_MC!H284="","*",FN_MC!H284)</f>
        <v>TCS</v>
      </c>
      <c r="J281" s="109" t="str">
        <f>IF(FN_MC!I284="","*",FN_MC!I284)</f>
        <v>TGR2</v>
      </c>
      <c r="K281" s="109" t="str">
        <f>IF(FN_MC!M284="","*",FN_MC!M284)</f>
        <v>TCS-TGR</v>
      </c>
      <c r="L281" s="328" t="str">
        <f>IF(FN_MC!N284="","*",FN_MC!N284)</f>
        <v>TCSTGR</v>
      </c>
      <c r="M281" s="110">
        <f>IF(FN_MC!J284="","*",FN_MC!J284)</f>
        <v>74</v>
      </c>
      <c r="N281" s="291">
        <f>IF(FN_MC!K284="","*",FN_MC!K284)</f>
        <v>291</v>
      </c>
      <c r="O281" s="291" t="str">
        <f>IF(FN_MC!L284="","*",FN_MC!L284)</f>
        <v>-</v>
      </c>
      <c r="P281" s="110"/>
      <c r="Q281" s="127">
        <f>IF(FN_MC!O284="","*",FN_MC!O284)</f>
        <v>0.33333333333333331</v>
      </c>
      <c r="R281" s="127">
        <f>IF(FN_MC!P284="","*",FN_MC!P284)</f>
        <v>4.1666666666666664E-2</v>
      </c>
      <c r="S281" s="109" t="str">
        <f>IF(FN_MC!Q284="","*",CONCATENATE(FN_MC!Q284," ",FN_MC!R284))</f>
        <v>1 KM</v>
      </c>
      <c r="T281" s="109" t="str">
        <f>IF(FN_MC!V284="","*",FN_MC!V284)</f>
        <v>*</v>
      </c>
      <c r="U281" s="109" t="str">
        <f>IF(FN_MC!W284="","*",FN_MC!W284)</f>
        <v>*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TMI-TCS</v>
      </c>
      <c r="F285" s="109">
        <f>IF(FN_MC!B288="","*",FN_MC!B288)</f>
        <v>46036</v>
      </c>
      <c r="G285" s="109" t="str">
        <f>IF(FN_MC!D288="","*",FN_MC!D288)</f>
        <v>MARCOS (TF-520)</v>
      </c>
      <c r="H285" s="109" t="str">
        <f>IF(FN_MC!F288="","*",FN_MC!F288)</f>
        <v>PDM - SOLDA</v>
      </c>
      <c r="I285" s="109" t="str">
        <f>IF(FN_MC!H288="","*",FN_MC!H288)</f>
        <v>TQIK73</v>
      </c>
      <c r="J285" s="109" t="str">
        <f>IF(FN_MC!I288="","*",FN_MC!I288)</f>
        <v>-</v>
      </c>
      <c r="K285" s="109" t="str">
        <f>IF(FN_MC!M288="","*",FN_MC!M288)</f>
        <v>TQI-TSP</v>
      </c>
      <c r="L285" s="328" t="str">
        <f>IF(FN_MC!N288="","*",FN_MC!N288)</f>
        <v>TQIK73</v>
      </c>
      <c r="M285" s="110">
        <f>IF(FN_MC!J288="","*",FN_MC!J288)</f>
        <v>74</v>
      </c>
      <c r="N285" s="291">
        <f>IF(FN_MC!K288="","*",FN_MC!K288)</f>
        <v>63.59</v>
      </c>
      <c r="O285" s="291" t="str">
        <f>IF(FN_MC!L288="","*",FN_MC!L288)</f>
        <v>-</v>
      </c>
      <c r="P285" s="110"/>
      <c r="Q285" s="127">
        <f>IF(FN_MC!O288="","*",FN_MC!O288)</f>
        <v>0.41666666666666669</v>
      </c>
      <c r="R285" s="127">
        <f>IF(FN_MC!P288="","*",FN_MC!P288)</f>
        <v>8.3333333333333329E-2</v>
      </c>
      <c r="S285" s="109" t="str">
        <f>IF(FN_MC!Q288="","*",CONCATENATE(FN_MC!Q288," ",FN_MC!R288))</f>
        <v>2 Nº DE SOLDA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1538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1539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1540</v>
      </c>
      <c r="C4" s="321" t="s">
        <v>1541</v>
      </c>
      <c r="D4" s="321" t="s">
        <v>1542</v>
      </c>
      <c r="E4" s="321" t="s">
        <v>1543</v>
      </c>
      <c r="F4" s="321" t="s">
        <v>367</v>
      </c>
      <c r="G4" s="321" t="s">
        <v>1544</v>
      </c>
      <c r="H4" s="187"/>
    </row>
    <row r="5" spans="1:8" ht="43.5">
      <c r="A5" s="187"/>
      <c r="B5" s="322" t="s">
        <v>1545</v>
      </c>
      <c r="C5" s="322">
        <v>309525</v>
      </c>
      <c r="D5" s="322" t="s">
        <v>1546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1547</v>
      </c>
      <c r="C6" s="322">
        <v>256875</v>
      </c>
      <c r="D6" s="322" t="s">
        <v>1548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1549</v>
      </c>
      <c r="C7" s="322">
        <v>257278</v>
      </c>
      <c r="D7" s="322" t="s">
        <v>1550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1551</v>
      </c>
      <c r="C8" s="322">
        <v>261794</v>
      </c>
      <c r="D8" s="322" t="s">
        <v>1552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1553</v>
      </c>
      <c r="C9" s="322">
        <v>257033</v>
      </c>
      <c r="D9" s="322" t="s">
        <v>1554</v>
      </c>
      <c r="E9" s="322" t="s">
        <v>240</v>
      </c>
      <c r="F9" s="322" t="s">
        <v>554</v>
      </c>
      <c r="G9" s="322" t="s">
        <v>1555</v>
      </c>
      <c r="H9" s="187"/>
    </row>
    <row r="10" spans="1:8" ht="43.5">
      <c r="A10" s="187"/>
      <c r="B10" s="322" t="s">
        <v>1556</v>
      </c>
      <c r="C10" s="322">
        <v>396578</v>
      </c>
      <c r="D10" s="322" t="s">
        <v>1557</v>
      </c>
      <c r="E10" s="322" t="s">
        <v>240</v>
      </c>
      <c r="F10" s="322" t="s">
        <v>554</v>
      </c>
      <c r="G10" s="322" t="s">
        <v>1555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1558</v>
      </c>
      <c r="C2" s="95" t="s">
        <v>1162</v>
      </c>
      <c r="D2" s="95" t="s">
        <v>1164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0" t="s">
        <v>1565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>
        <f>IF(FN_MC!B264="","*",FN_MC!B264)</f>
        <v>46036</v>
      </c>
      <c r="D266" s="120" t="str">
        <f>IF(FN_MC!D264="","*",FN_MC!D264)</f>
        <v>V86</v>
      </c>
      <c r="E266" s="120" t="str">
        <f>IF(FN_MC!H264="","*",FN_MC!H264)</f>
        <v>TSF1</v>
      </c>
      <c r="F266" s="136" t="str">
        <f>IF(FN_MC!M264="","*",FN_MC!M264)</f>
        <v>TSF-TRO</v>
      </c>
      <c r="G266" s="120" t="str">
        <f>IF(FN_MC!I264="","*",FN_MC!I264)</f>
        <v>TSF1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>
        <f>IF(FN_MC!B267="","*",FN_MC!B267)</f>
        <v>46036</v>
      </c>
      <c r="D269" s="120" t="str">
        <f>IF(FN_MC!D267="","*",FN_MC!D267)</f>
        <v>E46</v>
      </c>
      <c r="E269" s="120" t="str">
        <f>IF(FN_MC!H267="","*",FN_MC!H267)</f>
        <v>TIQ1</v>
      </c>
      <c r="F269" s="136" t="str">
        <f>IF(FN_MC!M267="","*",FN_MC!M267)</f>
        <v>TEP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W70</v>
      </c>
      <c r="E273" s="120" t="str">
        <f>IF(FN_MC!H271="","*",FN_MC!H271)</f>
        <v>TGR2</v>
      </c>
      <c r="F273" s="136" t="str">
        <f>IF(FN_MC!M271="","*",FN_MC!M271)</f>
        <v>TGR-TBE</v>
      </c>
      <c r="G273" s="120" t="str">
        <f>IF(FN_MC!I271="","*",FN_MC!I271)</f>
        <v>TRO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V66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>
        <f>IF(FN_MC!B284="","*",FN_MC!B284)</f>
        <v>46036</v>
      </c>
      <c r="D286" s="120" t="str">
        <f>IF(FN_MC!D284="","*",FN_MC!D284)</f>
        <v>A60</v>
      </c>
      <c r="E286" s="120" t="str">
        <f>IF(FN_MC!H284="","*",FN_MC!H284)</f>
        <v>TCS</v>
      </c>
      <c r="F286" s="136" t="str">
        <f>IF(FN_MC!M284="","*",FN_MC!M284)</f>
        <v>TCS-TGR</v>
      </c>
      <c r="G286" s="120" t="str">
        <f>IF(FN_MC!I284="","*",FN_MC!I284)</f>
        <v>TGR2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>
        <f>IF(FN_MC!B288="","*",FN_MC!B288)</f>
        <v>46036</v>
      </c>
      <c r="D290" s="120" t="str">
        <f>IF(FN_MC!D288="","*",FN_MC!D288)</f>
        <v>MARCOS (TF-520)</v>
      </c>
      <c r="E290" s="120" t="str">
        <f>IF(FN_MC!H288="","*",FN_MC!H288)</f>
        <v>TQIK73</v>
      </c>
      <c r="F290" s="136" t="str">
        <f>IF(FN_MC!M288="","*",FN_MC!M288)</f>
        <v>TQI-TSP</v>
      </c>
      <c r="G290" s="120" t="str">
        <f>IF(FN_MC!I288="","*",FN_MC!I288)</f>
        <v>-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1566</v>
      </c>
      <c r="D5" s="389"/>
      <c r="E5" s="389"/>
      <c r="F5" s="389"/>
      <c r="G5" s="389"/>
      <c r="H5" s="389"/>
      <c r="I5" s="389"/>
      <c r="J5" s="390"/>
      <c r="K5" s="391" t="s">
        <v>1567</v>
      </c>
      <c r="L5" s="392"/>
      <c r="M5" s="392"/>
      <c r="N5" s="392"/>
      <c r="O5" s="393" t="s">
        <v>1568</v>
      </c>
      <c r="P5" s="394"/>
      <c r="Q5" s="395"/>
    </row>
    <row r="6" spans="1:17" s="93" customFormat="1" ht="15.75" customHeight="1">
      <c r="A6" s="87" t="s">
        <v>1536</v>
      </c>
      <c r="B6" s="94" t="s">
        <v>1535</v>
      </c>
      <c r="C6" s="95" t="s">
        <v>1177</v>
      </c>
      <c r="D6" s="96" t="s">
        <v>1178</v>
      </c>
      <c r="E6" s="95" t="s">
        <v>1569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1570</v>
      </c>
      <c r="M6" s="138" t="s">
        <v>30</v>
      </c>
      <c r="N6" s="139" t="s">
        <v>1172</v>
      </c>
      <c r="O6" s="241" t="s">
        <v>1215</v>
      </c>
      <c r="P6" s="152"/>
      <c r="Q6" s="188" t="s">
        <v>1571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Em intervalo as 11:32h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Em inspeção para TIN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Aguardando descanso da equipe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2</v>
      </c>
      <c r="P251" s="90"/>
      <c r="Q251" s="144" t="str">
        <f>IF($A$2=1,IF(FN_MC!BJ252="","*",FN_MC!BJ252),IF(FN_MC!BK252="","*",FN_MC!BK252))</f>
        <v>Intervalo das 09:15 as 11:15h - realizou 1 solda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Em inspeção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1</v>
      </c>
      <c r="P254" s="90"/>
      <c r="Q254" s="144" t="str">
        <f>IF($A$2=1,IF(FN_MC!BJ256="","*",FN_MC!BJ256),IF(FN_MC!BK256="","*",FN_MC!BK256))</f>
        <v>Licença as 11:46h - Em inspeção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1</v>
      </c>
      <c r="P255" s="90"/>
      <c r="Q255" s="144" t="str">
        <f>IF($A$2=1,IF(FN_MC!BJ257="","*",FN_MC!BJ257),IF(FN_MC!BK257="","*",FN_MC!BK257))</f>
        <v xml:space="preserve">Em inspeção 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>
        <f>IF(FN_MC!B264="","*",FN_MC!B264)</f>
        <v>46036</v>
      </c>
      <c r="B262" s="98" t="str">
        <f>IF(FN_MC!X264="","*",FN_MC!X264)</f>
        <v>*</v>
      </c>
      <c r="C262" s="99" t="str">
        <f>IF(FN_MC!S264="","*",FN_MC!S264)</f>
        <v>FERRONORTE</v>
      </c>
      <c r="D262" s="99" t="str">
        <f>IF(FN_MC!T264="","*",FN_MC!T264)</f>
        <v>TGR-TRO</v>
      </c>
      <c r="E262" s="99" t="str">
        <f>IF(FN_MC!D264="","*",FN_MC!D264)</f>
        <v>V86</v>
      </c>
      <c r="F262" s="99" t="str">
        <f>IF(FN_MC!H264="","*",FN_MC!H264)</f>
        <v>TSF1</v>
      </c>
      <c r="G262" s="99" t="str">
        <f>IF(FN_MC!M264="","*",FN_MC!M264)</f>
        <v>TSF-TRO</v>
      </c>
      <c r="H262" s="149">
        <f>IF(FN_MC!K264="","*",FN_MC!K264)</f>
        <v>741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TSF1</v>
      </c>
      <c r="L262" s="140" t="str">
        <f>IF(FN_MC!AM264="","*",FN_MC!AM264)</f>
        <v>TSF-TRO</v>
      </c>
      <c r="M262" s="140">
        <f>IF(FN_MC!AP264="","*",FN_MC!AP264)</f>
        <v>741</v>
      </c>
      <c r="N262" s="140" t="str">
        <f>IF(FN_MC!AM264="","*",FN_MC!AM264)</f>
        <v>TSF-TRO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>
        <f>IF(FN_MC!B267="","*",FN_MC!B267)</f>
        <v>46036</v>
      </c>
      <c r="B265" s="98" t="str">
        <f>IF(FN_MC!X267="","*",FN_MC!X267)</f>
        <v>*</v>
      </c>
      <c r="C265" s="99" t="str">
        <f>IF(FN_MC!S267="","*",FN_MC!S267)</f>
        <v>FERRONORTE</v>
      </c>
      <c r="D265" s="99" t="str">
        <f>IF(FN_MC!T267="","*",FN_MC!T267)</f>
        <v>TGR-TRO</v>
      </c>
      <c r="E265" s="99" t="str">
        <f>IF(FN_MC!D267="","*",FN_MC!D267)</f>
        <v>E46</v>
      </c>
      <c r="F265" s="99" t="str">
        <f>IF(FN_MC!H267="","*",FN_MC!H267)</f>
        <v>TIQ1</v>
      </c>
      <c r="G265" s="99" t="str">
        <f>IF(FN_MC!M267="","*",FN_MC!M267)</f>
        <v>TEP</v>
      </c>
      <c r="H265" s="149">
        <f>IF(FN_MC!K267="","*",FN_MC!K267)</f>
        <v>564</v>
      </c>
      <c r="I265" s="131" t="str">
        <f>IF(FN_MC!O267="","*",FN_MC!O267)</f>
        <v>*</v>
      </c>
      <c r="J265" s="131">
        <f>IF(FN_MC!P267="","*",FN_MC!P267)</f>
        <v>0.125</v>
      </c>
      <c r="K265" s="140" t="str">
        <f>IF(FN_MC!AK267="","*",FN_MC!AK267)</f>
        <v>TIQ1</v>
      </c>
      <c r="L265" s="140" t="str">
        <f>IF(FN_MC!AM267="","*",FN_MC!AM267)</f>
        <v>TEP</v>
      </c>
      <c r="M265" s="140">
        <f>IF(FN_MC!AP267="","*",FN_MC!AP267)</f>
        <v>564</v>
      </c>
      <c r="N265" s="140" t="str">
        <f>IF(FN_MC!AM267="","*",FN_MC!AM267)</f>
        <v>TEP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FERRONORTE</v>
      </c>
      <c r="D269" s="99" t="str">
        <f>IF(FN_MC!T271="","*",FN_MC!T271)</f>
        <v>TGR-TRO</v>
      </c>
      <c r="E269" s="99" t="str">
        <f>IF(FN_MC!D271="","*",FN_MC!D271)</f>
        <v>W70</v>
      </c>
      <c r="F269" s="99" t="str">
        <f>IF(FN_MC!H271="","*",FN_MC!H271)</f>
        <v>TGR2</v>
      </c>
      <c r="G269" s="99" t="str">
        <f>IF(FN_MC!M271="","*",FN_MC!M271)</f>
        <v>TGR-TBE</v>
      </c>
      <c r="H269" s="149">
        <f>IF(FN_MC!K271="","*",FN_MC!K271)</f>
        <v>502</v>
      </c>
      <c r="I269" s="131">
        <f>IF(FN_MC!O271="","*",FN_MC!O271)</f>
        <v>0.79166666666666663</v>
      </c>
      <c r="J269" s="131">
        <f>IF(FN_MC!P271="","*",FN_MC!P271)</f>
        <v>4.1666666666666664E-2</v>
      </c>
      <c r="K269" s="140" t="str">
        <f>IF(FN_MC!AK271="","*",FN_MC!AK271)</f>
        <v>TGR2</v>
      </c>
      <c r="L269" s="140" t="str">
        <f>IF(FN_MC!AM271="","*",FN_MC!AM271)</f>
        <v>TGR-TBE</v>
      </c>
      <c r="M269" s="140">
        <f>IF(FN_MC!AP271="","*",FN_MC!AP271)</f>
        <v>502</v>
      </c>
      <c r="N269" s="140" t="str">
        <f>IF(FN_MC!AM271="","*",FN_MC!AM271)</f>
        <v>TGR-TBE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V66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>
        <f>IF(FN_MC!B284="","*",FN_MC!B284)</f>
        <v>46036</v>
      </c>
      <c r="B282" s="98" t="str">
        <f>IF(FN_MC!X284="","*",FN_MC!X284)</f>
        <v>*</v>
      </c>
      <c r="C282" s="99" t="str">
        <f>IF(FN_MC!S284="","*",FN_MC!S284)</f>
        <v>FERRONORTE</v>
      </c>
      <c r="D282" s="99" t="str">
        <f>IF(FN_MC!T284="","*",FN_MC!T284)</f>
        <v>TCS-TGR</v>
      </c>
      <c r="E282" s="99" t="str">
        <f>IF(FN_MC!D284="","*",FN_MC!D284)</f>
        <v>A60</v>
      </c>
      <c r="F282" s="99" t="str">
        <f>IF(FN_MC!H284="","*",FN_MC!H284)</f>
        <v>TCS</v>
      </c>
      <c r="G282" s="99" t="str">
        <f>IF(FN_MC!M284="","*",FN_MC!M284)</f>
        <v>TCS-TGR</v>
      </c>
      <c r="H282" s="149">
        <f>IF(FN_MC!K284="","*",FN_MC!K284)</f>
        <v>291</v>
      </c>
      <c r="I282" s="131">
        <f>IF(FN_MC!O284="","*",FN_MC!O284)</f>
        <v>0.33333333333333331</v>
      </c>
      <c r="J282" s="131">
        <f>IF(FN_MC!P284="","*",FN_MC!P284)</f>
        <v>4.1666666666666664E-2</v>
      </c>
      <c r="K282" s="140" t="str">
        <f>IF(FN_MC!AK284="","*",FN_MC!AK284)</f>
        <v>TCS</v>
      </c>
      <c r="L282" s="140" t="str">
        <f>IF(FN_MC!AM284="","*",FN_MC!AM284)</f>
        <v>TCS-TGR</v>
      </c>
      <c r="M282" s="140">
        <f>IF(FN_MC!AP284="","*",FN_MC!AP284)</f>
        <v>291</v>
      </c>
      <c r="N282" s="140" t="str">
        <f>IF(FN_MC!AM284="","*",FN_MC!AM284)</f>
        <v>TCS-TGR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>
        <f>IF(FN_MC!B288="","*",FN_MC!B288)</f>
        <v>46036</v>
      </c>
      <c r="B286" s="98" t="str">
        <f>IF(FN_MC!X288="","*",FN_MC!X288)</f>
        <v>*</v>
      </c>
      <c r="C286" s="99" t="str">
        <f>IF(FN_MC!S288="","*",FN_MC!S288)</f>
        <v>FERRONORTE</v>
      </c>
      <c r="D286" s="99" t="str">
        <f>IF(FN_MC!T288="","*",FN_MC!T288)</f>
        <v>TMI-TCS</v>
      </c>
      <c r="E286" s="99" t="str">
        <f>IF(FN_MC!D288="","*",FN_MC!D288)</f>
        <v>MARCOS (TF-520)</v>
      </c>
      <c r="F286" s="99" t="str">
        <f>IF(FN_MC!H288="","*",FN_MC!H288)</f>
        <v>TQIK73</v>
      </c>
      <c r="G286" s="99" t="str">
        <f>IF(FN_MC!M288="","*",FN_MC!M288)</f>
        <v>TQI-TSP</v>
      </c>
      <c r="H286" s="149">
        <f>IF(FN_MC!K288="","*",FN_MC!K288)</f>
        <v>63.59</v>
      </c>
      <c r="I286" s="131">
        <f>IF(FN_MC!O288="","*",FN_MC!O288)</f>
        <v>0.41666666666666669</v>
      </c>
      <c r="J286" s="131">
        <f>IF(FN_MC!P288="","*",FN_MC!P288)</f>
        <v>8.3333333333333329E-2</v>
      </c>
      <c r="K286" s="140" t="str">
        <f>IF(FN_MC!AK288="","*",FN_MC!AK288)</f>
        <v>TQIK73</v>
      </c>
      <c r="L286" s="140" t="str">
        <f>IF(FN_MC!AM288="","*",FN_MC!AM288)</f>
        <v>TQI-TSP</v>
      </c>
      <c r="M286" s="140">
        <f>IF(FN_MC!AP288="","*",FN_MC!AP288)</f>
        <v>63.59</v>
      </c>
      <c r="N286" s="140" t="str">
        <f>IF(FN_MC!AM288="","*",FN_MC!AM288)</f>
        <v>TQI-TSP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2026-01-13T16:35:09Z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