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916" documentId="8_{B6337239-1A00-434D-AAD0-422EA1FEB5AE}" xr6:coauthVersionLast="47" xr6:coauthVersionMax="47" xr10:uidLastSave="{30C795C6-F462-44C6-A2F0-49635D5F0118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8" i="1" l="1" a="1"/>
  <c r="H118" i="1" s="1"/>
  <c r="N118" i="1" a="1"/>
  <c r="N118" i="1"/>
  <c r="H122" i="1" a="1"/>
  <c r="H122" i="1"/>
  <c r="AY115" i="1"/>
  <c r="G115" i="1"/>
  <c r="A115" i="1"/>
  <c r="G114" i="16"/>
  <c r="E114" i="11"/>
  <c r="D110" i="13"/>
  <c r="T107" i="1" a="1"/>
  <c r="T107" i="1"/>
  <c r="S107" i="1" a="1"/>
  <c r="S107" i="1"/>
  <c r="N107" i="1" a="1"/>
  <c r="N107" i="1"/>
  <c r="M107" i="1" a="1"/>
  <c r="M107" i="1"/>
  <c r="A95" i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L106" i="16"/>
  <c r="R107" i="1"/>
  <c r="R106" i="16" s="1"/>
  <c r="D106" i="16"/>
  <c r="E106" i="16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L111" i="16"/>
  <c r="R112" i="1"/>
  <c r="R111" i="16" s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C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L117" i="16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L118" i="16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R121" i="16" s="1"/>
  <c r="S122" i="1" a="1"/>
  <c r="S122" i="1" s="1"/>
  <c r="D121" i="16" s="1"/>
  <c r="T122" i="1" a="1"/>
  <c r="T122" i="1" s="1"/>
  <c r="E121" i="16" s="1"/>
  <c r="AI122" i="1"/>
  <c r="BB122" i="1" s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L129" i="16"/>
  <c r="R130" i="1"/>
  <c r="S130" i="1" a="1"/>
  <c r="S130" i="1" s="1"/>
  <c r="D129" i="16" s="1"/>
  <c r="T130" i="1" a="1"/>
  <c r="T130" i="1" s="1"/>
  <c r="E129" i="16" s="1"/>
  <c r="AI130" i="1"/>
  <c r="BB130" i="1" s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0" i="1" l="1"/>
  <c r="AJ128" i="1"/>
  <c r="AJ122" i="1"/>
  <c r="BB115" i="1"/>
  <c r="AJ115" i="1"/>
  <c r="BQ97" i="1"/>
  <c r="AJ99" i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N606" i="11" s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V3" i="16" s="1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<sst xmlns="http://schemas.openxmlformats.org/spreadsheetml/2006/main" count="5057" uniqueCount="1476">
  <si>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</si>
  <si>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</si>
  <si>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</si>
  <si>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</si>
  <si>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</si>
  <si>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</si>
  <si>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</si>
  <si>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</si>
  <si>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</si>
  <si>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</si>
  <si>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</si>
  <si>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</si>
  <si>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</si>
  <si>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</si>
  <si>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</si>
  <si>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</si>
  <si>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</si>
  <si>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</si>
  <si>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</si>
  <si>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</si>
  <si>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</si>
  <si>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</si>
  <si>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</si>
  <si>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</si>
  <si>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</si>
  <si>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</si>
  <si>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</si>
  <si>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</si>
  <si>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</si>
  <si>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</si>
  <si>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</si>
  <si>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</si>
  <si>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</si>
  <si>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</si>
  <si>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</si>
  <si>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</si>
  <si>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</si>
  <si>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</si>
  <si>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</si>
  <si>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</si>
  <si>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</si>
  <si>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</si>
  <si>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</si>
  <si>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</si>
  <si>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</si>
  <si>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</si>
  <si>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</si>
  <si>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</si>
  <si>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</si>
  <si>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</si>
  <si>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</si>
  <si>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</si>
  <si>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</si>
  <si>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</si>
  <si>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</si>
  <si>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</si>
  <si>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</si>
  <si>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</si>
  <si>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</si>
  <si>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</si>
  <si>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</si>
  <si>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</si>
  <si>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</si>
  <si>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</si>
  <si>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</si>
  <si>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</si>
  <si>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</si>
  <si>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</si>
  <si>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</si>
  <si>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</si>
  <si>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</si>
  <si>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</si>
  <si>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</si>
  <si>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</si>
  <si>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</si>
  <si>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</si>
  <si>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</si>
  <si>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</si>
  <si>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</si>
  <si>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</si>
  <si>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</si>
  <si>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</si>
  <si>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</si>
  <si>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</si>
  <si>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</si>
  <si>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</si>
  <si>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</si>
  <si>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</si>
  <si>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</si>
  <si>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</si>
  <si>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</si>
  <si>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</si>
  <si>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</si>
  <si>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</si>
  <si>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</si>
  <si>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</si>
  <si>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</si>
  <si>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</si>
  <si>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</si>
  <si>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</si>
  <si>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</si>
  <si>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</si>
  <si>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</si>
  <si>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</si>
  <si>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</si>
  <si>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</si>
  <si>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</si>
  <si>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</si>
  <si>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</si>
  <si>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</si>
  <si>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</si>
  <si>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</si>
  <si>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</si>
  <si>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</si>
  <si>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</si>
  <si>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</si>
  <si>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</si>
  <si>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</si>
  <si>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</si>
  <si>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</si>
  <si>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</si>
  <si>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</si>
  <si>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</si>
  <si>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</si>
  <si>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</si>
  <si>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</si>
  <si>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</si>
  <si>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</si>
  <si>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</si>
  <si>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</si>
  <si>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</si>
  <si>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</si>
  <si>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</si>
  <si>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</si>
  <si>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</si>
  <si>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</si>
  <si>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</si>
  <si>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</si>
  <si>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</si>
  <si>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</si>
  <si>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</si>
  <si>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</si>
  <si>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</si>
  <si>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</si>
  <si>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</si>
  <si>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</si>
  <si>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</si>
  <si>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</si>
  <si>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</si>
  <si>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</si>
  <si>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</si>
  <si>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</si>
  <si>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</si>
  <si>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</si>
  <si>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</si>
  <si>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</si>
  <si>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</si>
  <si>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</si>
  <si>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</si>
  <si>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</si>
  <si>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</si>
  <si>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</si>
  <si>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</si>
  <si>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</si>
  <si>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</si>
  <si>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</si>
  <si>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</si>
  <si>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</si>
  <si>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</si>
  <si>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</si>
  <si>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</si>
  <si>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</si>
  <si>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</si>
  <si>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</si>
  <si>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</si>
  <si>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</si>
  <si>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</si>
  <si>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</si>
  <si>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</si>
  <si>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</si>
  <si>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</si>
  <si>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</si>
  <si>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</si>
  <si>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</si>
  <si>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</si>
  <si>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</si>
  <si>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</si>
  <si>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</si>
  <si>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</si>
  <si>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</si>
  <si>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</si>
  <si>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</si>
  <si>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</si>
  <si>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</si>
  <si>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</si>
  <si>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</si>
  <si>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</si>
  <si>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</si>
  <si>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</si>
  <si>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</si>
  <si>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</si>
  <si>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</si>
  <si>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</si>
  <si>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</si>
  <si>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</si>
  <si>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</si>
  <si>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</si>
  <si>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</si>
  <si>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</si>
  <si>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</si>
  <si>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</si>
  <si>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</si>
  <si>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</si>
  <si>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</si>
  <si>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</si>
  <si>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</si>
  <si>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</si>
  <si>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</si>
  <si>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</si>
  <si>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</si>
  <si>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</si>
  <si>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</si>
  <si>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</si>
  <si>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</si>
  <si>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</si>
  <si>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</si>
  <si>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</si>
  <si>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</si>
  <si>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</si>
  <si>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</si>
  <si>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</si>
  <si>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</si>
  <si>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</si>
  <si>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</si>
  <si>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</si>
  <si>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</si>
  <si>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</si>
  <si>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</si>
  <si>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</si>
  <si>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</si>
  <si>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</si>
  <si>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</si>
  <si>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</si>
  <si>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</si>
  <si>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</si>
  <si>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</si>
  <si>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</si>
  <si>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</si>
  <si>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</si>
  <si>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</si>
  <si>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</si>
  <si>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</si>
  <si>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</si>
  <si>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</si>
  <si>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</si>
  <si>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</si>
  <si>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</si>
  <si>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</si>
  <si>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</si>
  <si>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</si>
  <si>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</si>
  <si>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</si>
  <si>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</si>
  <si>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</si>
  <si>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</si>
  <si>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</si>
  <si>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</si>
  <si>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</si>
  <si>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</si>
  <si>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</si>
  <si>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</si>
  <si>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</si>
  <si>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</si>
  <si>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</si>
  <si>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</si>
  <si>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</si>
  <si>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</si>
  <si>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</si>
  <si>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</si>
  <si>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</si>
  <si>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</si>
  <si>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</si>
  <si>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</si>
  <si>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</si>
  <si>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</si>
  <si>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</si>
  <si>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</si>
  <si>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</si>
  <si>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</si>
  <si>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</si>
  <si>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</si>
  <si>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</si>
  <si>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</si>
  <si>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</si>
  <si>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</si>
  <si>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</si>
  <si>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</si>
  <si>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</si>
  <si>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</si>
  <si>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</si>
  <si>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</si>
  <si>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</si>
  <si>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</si>
  <si>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</si>
  <si>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</si>
  <si>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</si>
  <si>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</si>
  <si>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</si>
  <si>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</si>
  <si>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</si>
  <si>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</si>
  <si>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</si>
  <si>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</si>
  <si>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</si>
  <si>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</si>
  <si>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</si>
  <si>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</si>
  <si>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</si>
  <si>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</si>
  <si>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</si>
  <si>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</si>
  <si>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</si>
  <si>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</si>
  <si>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</si>
  <si>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</si>
  <si>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</si>
  <si>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</si>
  <si>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</si>
  <si>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</si>
  <si>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</si>
  <si>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</si>
  <si>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</si>
  <si>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</si>
  <si>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</si>
  <si>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</si>
  <si>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</si>
  <si>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</si>
  <si>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</si>
  <si>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</si>
  <si>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</si>
  <si>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</si>
  <si>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</si>
  <si>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</si>
  <si>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</si>
  <si>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</si>
  <si>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</si>
  <si>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</si>
  <si>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</si>
  <si>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</si>
  <si>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</si>
  <si>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</si>
  <si>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</si>
  <si>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</si>
  <si>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</si>
  <si>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</si>
  <si>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</si>
  <si>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</si>
  <si>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</si>
  <si>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</si>
  <si>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</si>
  <si>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</si>
  <si>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</si>
  <si>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</si>
  <si>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</si>
  <si>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</si>
  <si>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</si>
  <si>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</si>
  <si>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</si>
  <si>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</si>
  <si>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</si>
  <si>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</si>
  <si>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</si>
  <si>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</si>
  <si>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</si>
  <si>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</si>
  <si>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</si>
  <si>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</si>
  <si>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</si>
  <si>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</si>
  <si>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</si>
  <si>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</si>
  <si>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</si>
  <si>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</si>
  <si>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</si>
  <si>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</si>
  <si>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</si>
  <si>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</si>
  <si>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</si>
  <si>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</si>
  <si>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</si>
  <si>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</si>
  <si>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</si>
  <si>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</si>
  <si>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</si>
  <si>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</si>
  <si>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</si>
  <si>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</si>
  <si>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</si>
  <si>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</si>
  <si>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</si>
  <si>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</si>
  <si>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</si>
  <si>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</si>
  <si>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</si>
  <si>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</si>
  <si>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</si>
  <si>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</si>
  <si>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</si>
  <si>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</si>
  <si>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</si>
  <si>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</si>
  <si>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</si>
  <si>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</si>
  <si>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</si>
  <si>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</si>
  <si>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</si>
  <si>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</si>
  <si>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</si>
  <si>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</si>
  <si>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</si>
  <si>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</si>
  <si>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</si>
  <si>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</si>
  <si>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</si>
  <si>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</si>
  <si>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</si>
  <si>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</si>
  <si>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</si>
  <si>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</si>
  <si>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</si>
  <si>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</si>
  <si>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</si>
  <si>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</si>
  <si>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</si>
  <si>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</si>
  <si>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</si>
  <si>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</si>
  <si>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</si>
  <si>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</si>
  <si>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</si>
  <si>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</si>
  <si>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</si>
  <si>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</si>
  <si>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</si>
  <si>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</si>
  <si>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</si>
  <si>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</si>
  <si>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</si>
  <si>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</si>
  <si>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</si>
  <si>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</si>
  <si>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</si>
  <si>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</si>
  <si>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</si>
  <si>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</si>
  <si>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</si>
  <si>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</si>
  <si>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</si>
  <si>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</si>
  <si>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</si>
  <si>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</si>
  <si>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</si>
  <si>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</si>
  <si>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</si>
  <si>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</si>
  <si>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</si>
  <si>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</si>
  <si>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</si>
  <si>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</si>
  <si>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</si>
  <si>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</si>
  <si>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</si>
  <si>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</si>
  <si>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</si>
  <si>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</si>
  <si>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</si>
  <si>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</si>
  <si>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</si>
  <si>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</si>
  <si>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</si>
  <si>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</si>
  <si>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</si>
  <si>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</si>
  <si>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</si>
  <si>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</si>
  <si>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</si>
  <si>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</si>
  <si>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</si>
  <si>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</si>
  <si>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</si>
  <si>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</si>
  <si>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</si>
  <si>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</si>
  <si>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</si>
  <si>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</si>
  <si>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</si>
  <si>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</si>
  <si>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</si>
  <si>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</si>
  <si>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</si>
  <si>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</si>
  <si>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</si>
  <si>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</si>
  <si>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</si>
  <si>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</si>
  <si>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</si>
  <si>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</si>
  <si>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</si>
  <si>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</si>
  <si>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</si>
  <si>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</si>
  <si>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</si>
  <si>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</si>
  <si>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</si>
  <si>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</si>
  <si>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</si>
  <si>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</si>
  <si>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</si>
  <si>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</si>
  <si>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</si>
  <si>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</si>
  <si>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</si>
  <si>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</si>
  <si>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</si>
  <si>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</si>
  <si>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</si>
  <si>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</si>
  <si>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</si>
  <si>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</si>
  <si>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</si>
  <si>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</si>
  <si>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</si>
  <si>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</si>
  <si>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</si>
  <si>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</si>
  <si>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</si>
  <si>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</si>
  <si>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</si>
  <si>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</si>
  <si>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</si>
  <si>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</si>
  <si>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</si>
  <si>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</si>
  <si>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</si>
  <si>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</si>
  <si>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</si>
  <si>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</si>
  <si>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</si>
  <si>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</si>
  <si>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</si>
  <si>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</si>
  <si>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</si>
  <si>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</si>
  <si>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</si>
  <si>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</si>
  <si>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</si>
  <si>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</si>
  <si>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</si>
  <si>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</si>
  <si>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</si>
  <si>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</si>
  <si>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</si>
  <si>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</si>
  <si>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</si>
  <si>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</si>
  <si>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</si>
  <si>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</si>
  <si>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</si>
  <si>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</si>
  <si>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</si>
  <si>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</si>
  <si>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</si>
  <si>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</si>
  <si>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</si>
  <si>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</si>
  <si>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</si>
  <si>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</si>
  <si>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</si>
  <si>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</si>
  <si>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</si>
  <si>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</si>
  <si>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</si>
  <si>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</si>
  <si>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</si>
  <si>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</si>
  <si>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</si>
  <si>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</si>
  <si>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</si>
  <si>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</si>
  <si>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</si>
  <si>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</si>
  <si>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</si>
  <si>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</si>
  <si>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</si>
  <si>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</si>
  <si>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</si>
  <si>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</si>
  <si>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</si>
  <si>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</si>
  <si>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</si>
  <si>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</si>
  <si>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</si>
  <si>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</si>
  <si>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</si>
  <si>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</si>
  <si>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</si>
  <si>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</si>
  <si>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</si>
  <si>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</si>
  <si>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</si>
  <si>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</si>
  <si>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</si>
  <si>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</si>
  <si>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</si>
  <si>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</si>
  <si>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</si>
  <si>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</si>
  <si>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</si>
  <si>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</si>
  <si>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</si>
  <si>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</si>
  <si>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</si>
  <si>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</si>
  <si>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</si>
  <si>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</si>
  <si>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</si>
  <si>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</si>
  <si>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</si>
  <si>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</si>
  <si>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</si>
  <si>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</si>
  <si>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</si>
  <si>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</si>
  <si>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</si>
  <si>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</si>
  <si>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</si>
  <si>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</si>
  <si>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</si>
  <si>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</si>
  <si>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</si>
  <si>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</si>
  <si>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</si>
  <si>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</si>
  <si>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</si>
  <si>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</si>
  <si>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</si>
  <si>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</si>
  <si>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</si>
  <si>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</si>
  <si>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</si>
  <si>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</si>
  <si>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</si>
  <si>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</si>
  <si>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</si>
  <si>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</si>
  <si>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</si>
  <si>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</si>
  <si>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</si>
  <si>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</si>
  <si>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</si>
  <si>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</si>
  <si>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</si>
  <si>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</si>
  <si>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</si>
  <si>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</si>
  <si>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</si>
  <si>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</si>
  <si>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</si>
  <si>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</si>
  <si>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</si>
  <si>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</si>
  <si>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</si>
  <si>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</si>
  <si>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</si>
  <si>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</si>
  <si>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</si>
  <si>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</si>
  <si>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</si>
  <si>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</si>
  <si>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</si>
  <si>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</si>
  <si>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</si>
  <si>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</si>
  <si>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</si>
  <si>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</si>
  <si>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</si>
  <si>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</si>
  <si>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</si>
  <si>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</si>
  <si>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</si>
  <si>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</si>
  <si>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</si>
  <si>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</si>
  <si>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</si>
  <si>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</si>
  <si>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</si>
  <si>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</si>
  <si>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</si>
  <si>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</si>
  <si>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</si>
  <si>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</si>
  <si>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</si>
  <si>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</si>
  <si>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</si>
  <si>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</si>
  <si>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</si>
  <si>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</si>
  <si>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</si>
  <si>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</si>
  <si>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</si>
  <si>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</si>
  <si>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</si>
  <si>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</si>
  <si>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</si>
  <si>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</si>
  <si>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</si>
  <si>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</si>
  <si>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</si>
  <si>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</si>
  <si>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</si>
  <si>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</si>
  <si>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</si>
  <si>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</si>
  <si>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</si>
  <si>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</si>
  <si>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</si>
  <si>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</si>
  <si>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</si>
  <si>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</si>
  <si>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</si>
  <si>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</si>
  <si>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</si>
  <si>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</si>
  <si>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</si>
  <si>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</si>
  <si>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</si>
  <si>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</si>
  <si>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</si>
  <si>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</si>
  <si>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</si>
  <si>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</si>
  <si>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</si>
  <si>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</si>
  <si>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</si>
  <si>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</si>
  <si>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</si>
  <si>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</si>
  <si>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</si>
  <si>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</si>
  <si>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</si>
  <si>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</si>
  <si>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</si>
  <si>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</si>
  <si>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</si>
  <si>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</si>
  <si>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</si>
  <si>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</si>
  <si>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</si>
  <si>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</si>
  <si>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</si>
  <si>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</si>
  <si>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</si>
  <si>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</si>
  <si>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</si>
  <si>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</si>
  <si>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</si>
  <si>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</si>
  <si>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</si>
  <si>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</si>
  <si>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</si>
  <si>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</si>
  <si>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</si>
  <si>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</si>
  <si>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</si>
  <si>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</si>
  <si>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</si>
  <si>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</si>
  <si>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</si>
  <si>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</si>
  <si>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</si>
  <si>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</si>
  <si>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</si>
  <si>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</si>
  <si>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</si>
  <si>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</si>
  <si>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</si>
  <si>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</si>
  <si>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</si>
  <si>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</si>
  <si>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</si>
  <si>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</si>
  <si>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</si>
  <si>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</si>
  <si>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</si>
  <si>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</si>
  <si>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</si>
  <si>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</si>
  <si>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</si>
  <si>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</si>
  <si>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</si>
  <si>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</si>
  <si>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</si>
  <si>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</si>
  <si>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</si>
  <si>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</si>
  <si>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</si>
  <si>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</si>
  <si>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</si>
  <si>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</si>
  <si>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</si>
  <si>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</si>
  <si>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</si>
  <si>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</si>
  <si>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</si>
  <si>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</si>
  <si>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</si>
  <si>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</si>
  <si>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</si>
  <si>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</si>
  <si>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</si>
  <si>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</si>
  <si>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</si>
  <si>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</si>
  <si>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</si>
  <si>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</si>
  <si>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</si>
  <si>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</si>
  <si>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</si>
  <si>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</si>
  <si>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</si>
  <si>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</si>
  <si>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</si>
  <si>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</si>
  <si>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</si>
  <si>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</si>
  <si>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</si>
  <si>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</si>
  <si>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</si>
  <si>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</si>
  <si>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</si>
  <si>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</si>
  <si>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</si>
  <si>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</si>
  <si>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</si>
  <si>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</si>
  <si>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</si>
  <si>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</si>
  <si>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</si>
  <si>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</si>
  <si>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</si>
  <si>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</si>
  <si>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</si>
  <si>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</si>
  <si>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</si>
  <si>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</si>
  <si>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</si>
  <si>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</si>
  <si>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</si>
  <si>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</si>
  <si>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</si>
  <si>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</si>
  <si>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</si>
  <si>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</si>
  <si>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</si>
  <si>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</si>
  <si>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</si>
  <si>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</si>
  <si>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</si>
  <si>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</si>
  <si>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</si>
  <si>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</si>
  <si>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</si>
  <si>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</si>
  <si>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</si>
  <si>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</si>
  <si>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</si>
  <si>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</si>
  <si>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</si>
  <si>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</si>
  <si>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</si>
  <si>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</si>
  <si>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</si>
  <si>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</si>
  <si>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</si>
  <si>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</si>
  <si>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</si>
  <si>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</si>
  <si>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</si>
  <si>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</si>
  <si>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</si>
  <si>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</si>
  <si>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</si>
  <si>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</si>
  <si>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</si>
  <si>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</si>
  <si>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</si>
  <si>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</si>
  <si>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</si>
  <si>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</si>
  <si>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</si>
  <si>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</si>
  <si>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</si>
  <si>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</si>
  <si>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</si>
  <si>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</si>
  <si>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</si>
  <si>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</si>
  <si>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</si>
  <si>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</si>
  <si>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</si>
  <si>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</si>
  <si>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</si>
  <si>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</si>
  <si>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</si>
  <si>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</si>
  <si>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</si>
  <si>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</si>
  <si>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</si>
  <si>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</si>
  <si>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</si>
  <si>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</si>
  <si>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</si>
  <si>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</si>
  <si>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</si>
  <si>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</si>
  <si>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</si>
  <si>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</si>
  <si>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</si>
  <si>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</si>
  <si>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</si>
  <si>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</si>
  <si>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</si>
  <si>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</si>
  <si>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</si>
  <si>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</si>
  <si>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</si>
  <si>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</si>
  <si>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</si>
  <si>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</si>
  <si>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</si>
  <si>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</si>
  <si>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</si>
  <si>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</si>
  <si>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</si>
  <si>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</si>
  <si>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</si>
  <si>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</si>
  <si>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</si>
  <si>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</si>
  <si>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</si>
  <si>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</si>
  <si>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</si>
  <si>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</si>
  <si>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</si>
  <si>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</si>
  <si>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</si>
  <si>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</si>
  <si>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</si>
  <si>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</si>
  <si>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</si>
  <si>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</si>
  <si>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</si>
  <si>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</si>
  <si>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</si>
  <si>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</si>
  <si>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</si>
  <si>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</si>
  <si>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</si>
  <si>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</si>
  <si>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</si>
  <si>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</si>
  <si>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</si>
  <si>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</si>
  <si>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</si>
  <si>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</si>
  <si>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</si>
  <si>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</si>
  <si>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</si>
  <si>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</si>
  <si>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</si>
  <si>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</si>
  <si>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</si>
  <si>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</si>
  <si>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</si>
  <si>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</si>
  <si>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</si>
  <si>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</si>
  <si>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</si>
  <si>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</si>
  <si>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</si>
  <si>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</si>
  <si>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</si>
  <si>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</si>
  <si>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</si>
  <si>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</si>
  <si>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</si>
  <si>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</si>
  <si>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</si>
  <si>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</si>
  <si>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</si>
  <si>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</si>
  <si>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</si>
  <si>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</si>
  <si>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</si>
  <si>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</si>
  <si>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</si>
  <si>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</si>
  <si>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</si>
  <si>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</si>
  <si>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</si>
  <si>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</si>
  <si>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</si>
  <si>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</si>
  <si>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</si>
  <si>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</si>
  <si>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</si>
  <si>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</si>
  <si>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</si>
  <si>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</si>
  <si>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</si>
  <si>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</si>
  <si>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</si>
  <si>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</si>
  <si>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</si>
  <si>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</si>
  <si>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</si>
  <si>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</si>
  <si>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</si>
  <si>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</si>
  <si>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</si>
  <si>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</si>
  <si>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</si>
  <si>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</si>
  <si>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</si>
  <si>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</si>
  <si>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</si>
  <si>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</si>
  <si>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</si>
  <si>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</si>
  <si>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</si>
  <si>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</si>
  <si>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</si>
  <si>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</si>
  <si>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</si>
  <si>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</si>
  <si>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</si>
  <si>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</si>
  <si>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</si>
  <si>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</si>
  <si>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</si>
  <si>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</si>
  <si>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</si>
  <si>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</si>
  <si>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</si>
  <si>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</si>
  <si>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</si>
  <si>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</si>
  <si>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</si>
  <si>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</si>
  <si>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</si>
  <si>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</si>
  <si>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</si>
  <si>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</si>
  <si>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</si>
  <si>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</si>
  <si>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</si>
  <si>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</si>
  <si>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</si>
  <si>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</si>
  <si>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</si>
  <si>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</si>
  <si>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</si>
  <si>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</si>
  <si>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</si>
  <si>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</si>
  <si>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</si>
  <si>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</si>
  <si>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</si>
  <si>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</si>
  <si>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</si>
  <si>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</si>
  <si>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</si>
  <si>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</si>
  <si>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</si>
  <si>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</si>
  <si>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</si>
  <si>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</si>
  <si>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</si>
  <si>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</si>
  <si>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</si>
  <si>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</si>
  <si>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</si>
  <si>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</si>
  <si>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</si>
  <si>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</si>
  <si>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</si>
  <si>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</si>
  <si>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</si>
  <si>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</si>
  <si>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</si>
  <si>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</si>
  <si>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</si>
  <si>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</si>
  <si>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</si>
  <si>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</si>
  <si>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</si>
  <si>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</si>
  <si>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</si>
  <si>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</si>
  <si>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</si>
  <si>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</si>
  <si>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</si>
  <si>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</si>
  <si>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</si>
  <si>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</si>
  <si>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</si>
  <si>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</si>
  <si>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</si>
  <si>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</si>
  <si>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</si>
  <si>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</si>
  <si>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</si>
  <si>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</si>
  <si>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</si>
  <si>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</si>
  <si>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</si>
  <si>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</si>
  <si>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</si>
  <si>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</si>
  <si>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</si>
  <si>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</si>
  <si>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</si>
  <si>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</si>
  <si>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</si>
  <si>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</si>
  <si>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</si>
  <si>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</si>
  <si>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</si>
  <si>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</si>
  <si>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</si>
  <si>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</si>
  <si>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</si>
  <si>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</si>
  <si>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</si>
  <si>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</si>
  <si>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</si>
  <si>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</si>
  <si>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</si>
  <si>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</si>
  <si>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</si>
  <si>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</si>
  <si>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</si>
  <si>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</si>
  <si>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</si>
  <si>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</si>
  <si>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</si>
  <si>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</si>
  <si>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</si>
  <si>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</si>
  <si>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</si>
  <si>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</si>
  <si>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</si>
  <si>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</si>
  <si>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</si>
  <si>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</si>
  <si>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</si>
  <si>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</si>
  <si>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</si>
  <si>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</si>
  <si>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</si>
  <si>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</si>
  <si>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</si>
  <si>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</si>
  <si>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</si>
  <si>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</si>
  <si>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</si>
  <si>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</si>
  <si>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</si>
  <si>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</si>
  <si>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</si>
  <si>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</si>
  <si>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</si>
  <si>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</si>
  <si>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</si>
  <si>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</si>
  <si>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</si>
  <si>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</si>
  <si>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</si>
  <si>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</si>
  <si>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</si>
  <si>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</si>
  <si>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</si>
  <si>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</si>
  <si>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</si>
  <si>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</si>
  <si>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</si>
  <si>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</si>
  <si>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</si>
  <si>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</si>
  <si>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</si>
  <si>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</si>
  <si>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</si>
  <si>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</si>
  <si>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</si>
  <si>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</si>
  <si>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</si>
  <si>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</si>
  <si>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</si>
  <si>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</si>
  <si>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</si>
  <si>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</si>
  <si>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</si>
  <si>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</si>
  <si>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</si>
  <si>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</si>
  <si>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</si>
  <si>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</si>
  <si>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</si>
  <si>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</si>
  <si>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</si>
  <si>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</si>
  <si>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</si>
  <si>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</si>
  <si>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</si>
  <si>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</si>
  <si>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</si>
  <si>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</si>
  <si>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</si>
  <si>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</si>
  <si>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</si>
  <si>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</si>
  <si>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</si>
  <si>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</si>
  <si>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</si>
  <si>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</si>
  <si>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</si>
  <si>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</si>
  <si>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</si>
  <si>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</si>
  <si>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</si>
  <si>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</si>
  <si>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</si>
  <si>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</si>
  <si>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</si>
  <si>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</si>
  <si>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</si>
  <si>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</si>
  <si>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</si>
  <si>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</si>
  <si>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</si>
  <si>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</si>
  <si>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</si>
  <si>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</si>
  <si>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</si>
  <si>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</si>
  <si>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</si>
  <si>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</si>
  <si>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</si>
  <si>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</si>
  <si>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</si>
  <si>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</si>
  <si>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</si>
  <si>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</si>
  <si>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</si>
  <si>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</si>
  <si>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</si>
  <si>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</si>
  <si>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</si>
  <si>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</si>
  <si>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</si>
  <si>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</si>
  <si>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</si>
  <si>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</si>
  <si>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</si>
  <si>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</si>
  <si>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</si>
  <si>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</si>
  <si>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</si>
  <si>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</si>
  <si>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</si>
  <si>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</si>
  <si>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</si>
  <si>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</si>
  <si>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</si>
  <si>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</si>
  <si>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</si>
  <si>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</si>
  <si>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</si>
  <si>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</si>
  <si>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</si>
  <si>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</si>
  <si>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</si>
  <si>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</si>
  <si>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</si>
  <si>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</si>
  <si>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</si>
  <si>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</si>
  <si>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</si>
  <si>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</si>
  <si>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</si>
  <si>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</si>
  <si>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</si>
  <si>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</si>
  <si>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</si>
  <si>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</si>
  <si>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</si>
  <si>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</si>
  <si>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</si>
  <si>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</si>
  <si>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</si>
  <si>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</si>
  <si>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</si>
  <si>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</si>
  <si>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</si>
  <si>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</si>
  <si>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</si>
  <si>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</si>
  <si>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</si>
  <si>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</si>
  <si>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</si>
  <si>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</si>
  <si>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</si>
  <si>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</si>
  <si>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</si>
  <si>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</si>
  <si>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</si>
  <si>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</si>
  <si>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</si>
  <si>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</si>
  <si>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</si>
  <si>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</si>
  <si>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</si>
  <si>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</si>
  <si>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</si>
  <si>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</si>
  <si>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</si>
  <si>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</si>
  <si>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</si>
  <si>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</si>
  <si>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</si>
  <si>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</si>
  <si>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</si>
  <si>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</si>
  <si>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</si>
  <si>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</si>
  <si>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</si>
  <si>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</si>
  <si>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</si>
  <si>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</si>
  <si>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</si>
  <si>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</si>
  <si>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</si>
  <si>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</si>
  <si>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</si>
  <si>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</si>
  <si>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</si>
  <si>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</si>
  <si>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</si>
  <si>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</si>
  <si>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</si>
  <si>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</si>
  <si>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</si>
  <si>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</si>
  <si>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</si>
  <si>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</si>
  <si>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</si>
  <si>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</si>
  <si>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</si>
  <si>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</si>
  <si>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</si>
  <si>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</si>
  <si>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</si>
  <si>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</si>
  <si>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</si>
  <si>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</si>
  <si>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</si>
  <si>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</si>
  <si>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</si>
  <si>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</si>
  <si>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</si>
  <si>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</si>
  <si>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</si>
  <si>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</si>
  <si>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</si>
  <si>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</si>
  <si>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</si>
  <si>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</si>
  <si>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</si>
  <si>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</si>
  <si>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</si>
  <si>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</si>
  <si>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</si>
  <si>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</si>
  <si>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</si>
  <si>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</si>
  <si>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</si>
  <si>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</si>
  <si>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</si>
  <si>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</si>
  <si>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</si>
  <si>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</si>
  <si>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TIQNORTE</t>
  </si>
  <si>
    <t>Substituição de jacaré</t>
  </si>
  <si>
    <t>Pronto as 09:30h - CCO verificando faixa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</si>
  <si>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</si>
  <si>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</si>
  <si>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</si>
  <si>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</si>
  <si>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</si>
  <si>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</si>
  <si>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</si>
  <si>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</si>
  <si>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</si>
  <si>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TINPAT2</t>
  </si>
  <si>
    <t>Herbert</t>
  </si>
  <si>
    <t>Descarga de 3 barras km 109</t>
  </si>
  <si>
    <t>MC1 11:29h, manobrando</t>
  </si>
  <si>
    <t>FErnanda</t>
  </si>
  <si>
    <t>Inspeção RIV - vma 45 km/h - inspeção nos pátios a 30 km/h</t>
  </si>
  <si>
    <t>MC1 10:27h - previsão de licenca as 14h</t>
  </si>
  <si>
    <t>MC1 as 08:10 - Em intervalo das 10:02h as 13:02h</t>
  </si>
  <si>
    <t>TIN-TCS</t>
  </si>
  <si>
    <t>TINPAT1</t>
  </si>
  <si>
    <t>TOM-TGR</t>
  </si>
  <si>
    <t>TOMTGR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</si>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</sst>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35" borderId="2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H111" activePane="topRight" state="frozen"/>
      <selection pane="topRight" activeCell="O130" sqref="O13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80:BR136" si="10">IF(OR(B80="",F80=""),"*",AY80/P80)</f>
        <v>*</v>
      </c>
      <c r="BS80" s="15" t="str">
        <f t="shared" ref="BS80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746</v>
      </c>
      <c r="I85" s="135" t="s">
        <v>746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373</v>
      </c>
      <c r="Y85" s="129" t="s">
        <v>372</v>
      </c>
      <c r="Z85" s="129"/>
      <c r="AA85" s="71">
        <v>1</v>
      </c>
      <c r="AB85" s="59" t="s">
        <v>370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1400</v>
      </c>
      <c r="BK85" s="14" t="s">
        <v>1400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378</v>
      </c>
      <c r="Y86" s="129" t="s">
        <v>381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 t="s">
        <v>1403</v>
      </c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709</v>
      </c>
      <c r="I88" s="135" t="s">
        <v>709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378</v>
      </c>
      <c r="Y88" s="129" t="s">
        <v>381</v>
      </c>
      <c r="Z88" s="129"/>
      <c r="AA88" s="71" t="s">
        <v>1375</v>
      </c>
      <c r="AB88" s="59" t="s">
        <v>370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>
        <v>0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0</v>
      </c>
      <c r="BI88" s="14"/>
      <c r="BJ88" s="14" t="s">
        <v>1405</v>
      </c>
      <c r="BK88" s="14" t="s">
        <v>1405</v>
      </c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664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1406</v>
      </c>
      <c r="X91" s="152" t="s">
        <v>378</v>
      </c>
      <c r="Y91" s="129" t="s">
        <v>381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>
        <v>0.40486111111111112</v>
      </c>
      <c r="AT91" s="32">
        <v>0.48819444444444443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8.3333333333333315E-2</v>
      </c>
      <c r="AZ91" s="11"/>
      <c r="BA91" s="60">
        <v>1</v>
      </c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>
        <v>2</v>
      </c>
      <c r="BI91" s="14"/>
      <c r="BJ91" s="14" t="s">
        <v>1407</v>
      </c>
      <c r="BK91" s="14" t="s">
        <v>1407</v>
      </c>
      <c r="BL91" s="13"/>
      <c r="BM91" s="12"/>
      <c r="BN91" s="12"/>
      <c r="BO91" s="130"/>
      <c r="BP91" s="14"/>
      <c r="BQ91" s="10" t="str">
        <f t="shared" si="9"/>
        <v>Aderente</v>
      </c>
      <c r="BR91" s="15">
        <f t="shared" si="10"/>
        <v>0.99999999999999978</v>
      </c>
      <c r="BS91" s="15">
        <f t="shared" si="11"/>
        <v>1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664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1408</v>
      </c>
      <c r="X92" s="152" t="s">
        <v>378</v>
      </c>
      <c r="Y92" s="129" t="s">
        <v>381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>
        <v>0.40486111111111112</v>
      </c>
      <c r="AT92" s="32">
        <v>0.48819444444444443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8.3333333333333315E-2</v>
      </c>
      <c r="AZ92" s="11"/>
      <c r="BA92" s="60">
        <v>1</v>
      </c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>
        <v>2</v>
      </c>
      <c r="BI92" s="14"/>
      <c r="BJ92" s="14" t="s">
        <v>1407</v>
      </c>
      <c r="BK92" s="14" t="s">
        <v>1407</v>
      </c>
      <c r="BL92" s="13"/>
      <c r="BM92" s="12"/>
      <c r="BN92" s="12"/>
      <c r="BO92" s="130"/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637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378</v>
      </c>
      <c r="Y94" s="129" t="s">
        <v>381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>
        <v>2</v>
      </c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2</v>
      </c>
      <c r="BI94" s="14"/>
      <c r="BJ94" s="14" t="s">
        <v>1409</v>
      </c>
      <c r="BK94" s="14" t="s">
        <v>1410</v>
      </c>
      <c r="BL94" s="13"/>
      <c r="BM94" s="12"/>
      <c r="BN94" s="12"/>
      <c r="BO94" s="130"/>
      <c r="BP94" s="14"/>
      <c r="BQ94" s="10" t="str">
        <f t="shared" si="9"/>
        <v>Aderente</v>
      </c>
      <c r="BR94" s="15">
        <f t="shared" si="10"/>
        <v>1</v>
      </c>
      <c r="BS94" s="15">
        <f t="shared" si="11"/>
        <v>2</v>
      </c>
      <c r="BT94" s="157" t="str">
        <f t="shared" si="7"/>
        <v/>
      </c>
    </row>
    <row r="95" spans="1:72" hidden="1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623</v>
      </c>
      <c r="I96" s="135" t="s">
        <v>623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373</v>
      </c>
      <c r="Y96" s="129" t="s">
        <v>372</v>
      </c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>
        <v>0.46944444444444444</v>
      </c>
      <c r="AT96" s="32">
        <v>0.63611111111111107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0.16666666666666663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>
        <v>1</v>
      </c>
      <c r="BI96" s="14"/>
      <c r="BJ96" s="14" t="s">
        <v>1411</v>
      </c>
      <c r="BK96" s="14" t="s">
        <v>1411</v>
      </c>
      <c r="BL96" s="13"/>
      <c r="BM96" s="12"/>
      <c r="BN96" s="12"/>
      <c r="BO96" s="130"/>
      <c r="BP96" s="14"/>
      <c r="BQ96" s="10" t="str">
        <f t="shared" si="9"/>
        <v>Produção</v>
      </c>
      <c r="BR96" s="15">
        <f t="shared" si="10"/>
        <v>0.99999999999999978</v>
      </c>
      <c r="BS96" s="15">
        <f t="shared" si="11"/>
        <v>0</v>
      </c>
      <c r="BT96" s="157" t="str">
        <f t="shared" si="7"/>
        <v/>
      </c>
    </row>
    <row r="97" spans="1:72" ht="23.25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617</v>
      </c>
      <c r="I97" s="135" t="s">
        <v>617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3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378</v>
      </c>
      <c r="Y97" s="129" t="s">
        <v>381</v>
      </c>
      <c r="Z97" s="129"/>
      <c r="AA97" s="71">
        <v>1</v>
      </c>
      <c r="AB97" s="59" t="s">
        <v>370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>
        <v>0.38750000000000001</v>
      </c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>
        <v>1</v>
      </c>
      <c r="BI97" s="14"/>
      <c r="BJ97" s="14" t="s">
        <v>1412</v>
      </c>
      <c r="BK97" s="14" t="s">
        <v>1412</v>
      </c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597</v>
      </c>
      <c r="I98" s="135" t="s">
        <v>597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1413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1414</v>
      </c>
      <c r="W98" s="135" t="s">
        <v>1415</v>
      </c>
      <c r="X98" s="152" t="s">
        <v>378</v>
      </c>
      <c r="Y98" s="129" t="s">
        <v>381</v>
      </c>
      <c r="Z98" s="129"/>
      <c r="AA98" s="71">
        <v>2</v>
      </c>
      <c r="AB98" s="59" t="s">
        <v>375</v>
      </c>
      <c r="AC98" s="59"/>
      <c r="AD98" s="135">
        <v>0.29166666666666669</v>
      </c>
      <c r="AE98" s="71"/>
      <c r="AF98" s="71"/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>
        <v>0.47847222222222224</v>
      </c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1416</v>
      </c>
      <c r="BK98" s="14" t="s">
        <v>1416</v>
      </c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575</v>
      </c>
      <c r="I99" s="135" t="s">
        <v>621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1417</v>
      </c>
      <c r="W99" s="135" t="s">
        <v>1418</v>
      </c>
      <c r="X99" s="152" t="s">
        <v>378</v>
      </c>
      <c r="Y99" s="129" t="s">
        <v>381</v>
      </c>
      <c r="Z99" s="129"/>
      <c r="AA99" s="71">
        <v>1</v>
      </c>
      <c r="AB99" s="59" t="s">
        <v>370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>
        <v>0.43541666666666667</v>
      </c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1419</v>
      </c>
      <c r="BK99" s="14" t="s">
        <v>1419</v>
      </c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826</v>
      </c>
      <c r="I102" s="135" t="s">
        <v>826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378</v>
      </c>
      <c r="Y102" s="129" t="s">
        <v>381</v>
      </c>
      <c r="Z102" s="129"/>
      <c r="AA102" s="71">
        <v>1</v>
      </c>
      <c r="AB102" s="59" t="s">
        <v>370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>
        <v>0.41805555555555557</v>
      </c>
      <c r="AT102" s="32">
        <v>0.54305555555555551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0.12499999999999994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>
        <v>1</v>
      </c>
      <c r="BI102" s="14"/>
      <c r="BJ102" s="14" t="s">
        <v>1420</v>
      </c>
      <c r="BK102" s="14" t="s">
        <v>1420</v>
      </c>
      <c r="BL102" s="13"/>
      <c r="BM102" s="12"/>
      <c r="BN102" s="12"/>
      <c r="BO102" s="130"/>
      <c r="BP102" s="14"/>
      <c r="BQ102" s="10" t="str">
        <f t="shared" si="9"/>
        <v>Produção</v>
      </c>
      <c r="BR102" s="15">
        <f t="shared" si="10"/>
        <v>0.99999999999999956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>V8646088</v>
      </c>
      <c r="B107" s="133">
        <v>46088</v>
      </c>
      <c r="C107" s="7">
        <f>IF(BS_CONTROLE[[#This Row],[DATA]]="","",WEEKNUM(BS_CONTROLE[[#This Row],[DATA]]))</f>
        <v>10</v>
      </c>
      <c r="D107" s="45" t="s">
        <v>217</v>
      </c>
      <c r="E107" s="185">
        <v>79</v>
      </c>
      <c r="F107" s="134" t="s">
        <v>116</v>
      </c>
      <c r="G107" s="8" t="str">
        <f>IF(D107="","*",VLOOKUP(F107,BS_ATIVIDADE[#All],3,FALSE))</f>
        <v>MECANIZAÇÃO - SOCADORA</v>
      </c>
      <c r="H107" s="135" t="s">
        <v>746</v>
      </c>
      <c r="I107" s="135" t="s">
        <v>746</v>
      </c>
      <c r="J107" s="151">
        <v>98</v>
      </c>
      <c r="K107" s="151">
        <v>664</v>
      </c>
      <c r="L107" s="71">
        <v>667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7" s="135">
        <v>0.27777777777777779</v>
      </c>
      <c r="P107" s="135">
        <v>0.125</v>
      </c>
      <c r="Q107" s="71">
        <v>1680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199" t="str">
        <f>IFERROR(_xlfn.XLOOKUP(J107, BASE_MAPA!$B$2:$B$408, BASE_MAPA!$G$2:$G$408), "ERRO")</f>
        <v>ALTO ARAGUAIA - RONDONOPOLIS</v>
      </c>
      <c r="V107" s="143" t="s">
        <v>1304</v>
      </c>
      <c r="W107" s="135" t="s">
        <v>1342</v>
      </c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MECANIZAÇÃO - SOCADORA</v>
      </c>
      <c r="AJ107" s="8" t="str">
        <f>IF(D107="","*",VLOOKUP(AI107,BS_ATIVIDADE[#Data],3,FALSE))</f>
        <v>MECANIZAÇÃO - SOCADORA</v>
      </c>
      <c r="AK107" s="175" t="str">
        <f>IF(BS_CONTROLE[[#This Row],[Local - Partida]]=0, "-", BS_CONTROLE[[#This Row],[Local - Partida]])</f>
        <v>TIQ2</v>
      </c>
      <c r="AL107" s="175" t="str">
        <f>IF(BS_CONTROLE[[#This Row],[Local - Encerramento]]=0, "-", BS_CONTROLE[[#This Row],[Local - Encerramento]])</f>
        <v>TIQ2</v>
      </c>
      <c r="AM107" s="175" t="str">
        <f>IF(BS_CONTROLE[[#This Row],[Entre - Estações]]=0, "-", BS_CONTROLE[[#This Row],[Entre - Estações]])</f>
        <v>TBS-TAL</v>
      </c>
      <c r="AN107" s="175" t="str">
        <f>IF(BS_CONTROLE[[#This Row],[SB]]=0, "-", BS_CONTROLE[[#This Row],[SB]])</f>
        <v>TBS671</v>
      </c>
      <c r="AO107" s="176">
        <f>IF(BS_CONTROLE[[#This Row],[SUB]]=0, "-", BS_CONTROLE[[#This Row],[SUB]])</f>
        <v>98</v>
      </c>
      <c r="AP107" s="177">
        <f>IF(BS_CONTROLE[[#This Row],[KM - Inicio]]=0, "-", BS_CONTROLE[[#This Row],[KM - Inicio]])</f>
        <v>664</v>
      </c>
      <c r="AQ107" s="177">
        <f>IF(BS_CONTROLE[[#This Row],[KM - Fim]]=0, "-", BS_CONTROLE[[#This Row],[KM - Fim]])</f>
        <v>667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200" t="str">
        <f>IFERROR(_xlfn.XLOOKUP(AO107, BASE_MAPA!$B$2:$B$408, BASE_MAPA!$G$2:$G$408), "ERRO")</f>
        <v>ALTO ARAGUAIA - RONDONOPOLIS</v>
      </c>
      <c r="BF107" s="178" t="str">
        <f>IF(BS_CONTROLE[[#This Row],[Responsavel pelo boletim]]=0, "-", BS_CONTROLE[[#This Row],[Responsavel pelo boletim]])</f>
        <v>Camila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>V7746088</v>
      </c>
      <c r="B109" s="133">
        <v>46088</v>
      </c>
      <c r="C109" s="7">
        <f>IF(BS_CONTROLE[[#This Row],[DATA]]="","",WEEKNUM(BS_CONTROLE[[#This Row],[DATA]]))</f>
        <v>10</v>
      </c>
      <c r="D109" s="45" t="s">
        <v>207</v>
      </c>
      <c r="E109" s="185">
        <v>102</v>
      </c>
      <c r="F109" s="134" t="s">
        <v>32</v>
      </c>
      <c r="G109" s="8" t="str">
        <f>IF(D109="","*",VLOOKUP(F109,BS_ATIVIDADE[#All],3,FALSE))</f>
        <v>DETECÇÃO</v>
      </c>
      <c r="H109" s="135" t="s">
        <v>744</v>
      </c>
      <c r="I109" s="135" t="s">
        <v>709</v>
      </c>
      <c r="J109" s="151">
        <v>98</v>
      </c>
      <c r="K109" s="151">
        <v>616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9" s="135">
        <v>0.29166666666666669</v>
      </c>
      <c r="P109" s="135"/>
      <c r="Q109" s="71"/>
      <c r="R109" s="9" t="str">
        <f>IFERROR(_xlfn.XLOOKUP(F109, BS_ATIVIDADE[ATIVIDADE],BS_ATIVIDADE[UNIDADE] ), "*")</f>
        <v>KM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9" s="199" t="str">
        <f>IFERROR(_xlfn.XLOOKUP(J109, BASE_MAPA!$B$2:$B$408, BASE_MAPA!$G$2:$G$408), "ERRO")</f>
        <v>ALTO ARAGUAIA - RONDONOPOLIS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DETECÇÃO - RONDA 7 DIAS</v>
      </c>
      <c r="AJ109" s="8" t="str">
        <f>IF(D109="","*",VLOOKUP(AI109,BS_ATIVIDADE[#Data],3,FALSE))</f>
        <v>DETECÇÃO</v>
      </c>
      <c r="AK109" s="175" t="str">
        <f>IF(BS_CONTROLE[[#This Row],[Local - Partida]]=0, "-", BS_CONTROLE[[#This Row],[Local - Partida]])</f>
        <v>TIQ</v>
      </c>
      <c r="AL109" s="175" t="str">
        <f>IF(BS_CONTROLE[[#This Row],[Local - Encerramento]]=0, "-", BS_CONTROLE[[#This Row],[Local - Encerramento]])</f>
        <v>TGR2</v>
      </c>
      <c r="AM109" s="175" t="str">
        <f>IF(BS_CONTROLE[[#This Row],[Entre - Estações]]=0, "-", BS_CONTROLE[[#This Row],[Entre - Estações]])</f>
        <v>TIQ</v>
      </c>
      <c r="AN109" s="175" t="str">
        <f>IF(BS_CONTROLE[[#This Row],[SB]]=0, "-", BS_CONTROLE[[#This Row],[SB]])</f>
        <v>TIQ1</v>
      </c>
      <c r="AO109" s="176">
        <f>IF(BS_CONTROLE[[#This Row],[SUB]]=0, "-", BS_CONTROLE[[#This Row],[SUB]])</f>
        <v>98</v>
      </c>
      <c r="AP109" s="177">
        <f>IF(BS_CONTROLE[[#This Row],[KM - Inicio]]=0, "-", BS_CONTROLE[[#This Row],[KM - Inicio]])</f>
        <v>616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KM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9" s="200" t="str">
        <f>IFERROR(_xlfn.XLOOKUP(AO109, BASE_MAPA!$B$2:$B$408, BASE_MAPA!$G$2:$G$408), "ERRO")</f>
        <v>ALTO ARAGUAIA - RONDONOPOLIS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e">
        <f t="shared" si="9"/>
        <v>#DIV/0!</v>
      </c>
      <c r="BR109" s="15" t="e">
        <f t="shared" si="10"/>
        <v>#DIV/0!</v>
      </c>
      <c r="BS109" s="15" t="e">
        <f t="shared" si="11"/>
        <v>#DIV/0!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ELSON (TF-526)46088</v>
      </c>
      <c r="B112" s="133">
        <v>46088</v>
      </c>
      <c r="C112" s="7">
        <f>IF(BS_CONTROLE[[#This Row],[DATA]]="","",WEEKNUM(BS_CONTROLE[[#This Row],[DATA]]))</f>
        <v>10</v>
      </c>
      <c r="D112" s="45" t="s">
        <v>303</v>
      </c>
      <c r="E112" s="185"/>
      <c r="F112" s="134" t="s">
        <v>193</v>
      </c>
      <c r="G112" s="8" t="str">
        <f>IF(D112="","*",VLOOKUP(F112,BS_ATIVIDADE[#All],3,FALSE))</f>
        <v>SOLDA</v>
      </c>
      <c r="H112" s="149" t="s">
        <v>684</v>
      </c>
      <c r="I112" s="135" t="s">
        <v>11</v>
      </c>
      <c r="J112" s="151">
        <v>74</v>
      </c>
      <c r="K112" s="151">
        <v>403.505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12" s="149" t="s">
        <v>684</v>
      </c>
      <c r="O112" s="135">
        <v>0.375</v>
      </c>
      <c r="P112" s="135">
        <v>6.25E-2</v>
      </c>
      <c r="Q112" s="71">
        <v>1</v>
      </c>
      <c r="R112" s="9" t="str">
        <f>IFERROR(_xlfn.XLOOKUP(F112, BS_ATIVIDADE[ATIVIDADE],BS_ATIVIDADE[UNIDADE] ), "*")</f>
        <v>Nº DE SOLDA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2" s="199" t="str">
        <f>IFERROR(_xlfn.XLOOKUP(J112, BASE_MAPA!$B$2:$B$408, BASE_MAPA!$G$2:$G$408), "ERRO")</f>
        <v>MARCO INICIAL - ALTO ARAGUAIA</v>
      </c>
      <c r="V112" s="143" t="s">
        <v>1253</v>
      </c>
      <c r="W112" s="135" t="s">
        <v>1227</v>
      </c>
      <c r="X112" s="152" t="s">
        <v>378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SOLDA</v>
      </c>
      <c r="AJ112" s="8" t="str">
        <f>IF(D112="","*",VLOOKUP(AI112,BS_ATIVIDADE[#Data],3,FALSE))</f>
        <v>SOLDA</v>
      </c>
      <c r="AK112" s="175" t="str">
        <f>IF(BS_CONTROLE[[#This Row],[Local - Partida]]=0, "-", BS_CONTROLE[[#This Row],[Local - Partida]])</f>
        <v>TOM2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TOM</v>
      </c>
      <c r="AN112" s="175" t="str">
        <f>IF(BS_CONTROLE[[#This Row],[SB]]=0, "-", BS_CONTROLE[[#This Row],[SB]])</f>
        <v>TOM2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403.505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Nº DE SOLDA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Elson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idden="1">
      <c r="A114" s="44" t="str">
        <f>D114&amp;B114</f>
        <v/>
      </c>
      <c r="B114" s="133"/>
      <c r="C114" s="7" t="str">
        <f>IF(BS_CONTROLE[[#This Row],[DATA]]="","",WEEKNUM(BS_CONTROLE[[#This Row],[DATA]]))</f>
        <v/>
      </c>
      <c r="D114" s="152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idden="1">
      <c r="A115" s="44" t="str">
        <f>D115&amp;B115</f>
        <v>V4846088</v>
      </c>
      <c r="B115" s="133">
        <v>46088</v>
      </c>
      <c r="C115" s="7">
        <f>IF(BS_CONTROLE[[#This Row],[DATA]]="","",WEEKNUM(BS_CONTROLE[[#This Row],[DATA]]))</f>
        <v>10</v>
      </c>
      <c r="D115" s="152" t="s">
        <v>183</v>
      </c>
      <c r="E115" s="185">
        <v>108</v>
      </c>
      <c r="F115" s="134" t="s">
        <v>142</v>
      </c>
      <c r="G115" s="8" t="str">
        <f>IF(D115="","*",VLOOKUP(F115,BS_ATIVIDADE[#All],3,FALSE))</f>
        <v>MODERNIZAÇÃO</v>
      </c>
      <c r="H115" s="135" t="s">
        <v>623</v>
      </c>
      <c r="I115" s="135" t="s">
        <v>623</v>
      </c>
      <c r="J115" s="151">
        <v>74</v>
      </c>
      <c r="K115" s="249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15" s="135"/>
      <c r="P115" s="135"/>
      <c r="Q115" s="71"/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MODERNIZAÇÃO - SOCADORA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TVI2</v>
      </c>
      <c r="AL115" s="175" t="str">
        <f>IF(BS_CONTROLE[[#This Row],[Local - Encerramento]]=0, "-", BS_CONTROLE[[#This Row],[Local - Encerramento]])</f>
        <v>TVI2</v>
      </c>
      <c r="AM115" s="175" t="str">
        <f>IF(BS_CONTROLE[[#This Row],[Entre - Estações]]=0, "-", BS_CONTROLE[[#This Row],[Entre - Estações]])</f>
        <v>ZRW-TRP</v>
      </c>
      <c r="AN115" s="175" t="str">
        <f>IF(BS_CONTROLE[[#This Row],[SB]]=0, "-", BS_CONTROLE[[#This Row],[SB]])</f>
        <v>TMITRP</v>
      </c>
      <c r="AO115" s="176">
        <f>IF(BS_CONTROLE[[#This Row],[SUB]]=0, "-", BS_CONTROLE[[#This Row],[SUB]])</f>
        <v>74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e">
        <f t="shared" si="9"/>
        <v>#DIV/0!</v>
      </c>
      <c r="BR115" s="15" t="e">
        <f t="shared" si="10"/>
        <v>#DIV/0!</v>
      </c>
      <c r="BS115" s="15" t="e">
        <f t="shared" si="11"/>
        <v>#DIV/0!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>V6646088</v>
      </c>
      <c r="B117" s="133">
        <v>46088</v>
      </c>
      <c r="C117" s="7">
        <f>IF(BS_CONTROLE[[#This Row],[DATA]]="","",WEEKNUM(BS_CONTROLE[[#This Row],[DATA]]))</f>
        <v>10</v>
      </c>
      <c r="D117" s="45" t="s">
        <v>192</v>
      </c>
      <c r="E117" s="185">
        <v>110</v>
      </c>
      <c r="F117" s="134" t="s">
        <v>235</v>
      </c>
      <c r="G117" s="8" t="str">
        <f>IF(D117="","*",VLOOKUP(F117,BS_ATIVIDADE[#All],3,FALSE))</f>
        <v>MODERNIZAÇÃO</v>
      </c>
      <c r="H117" s="135" t="s">
        <v>617</v>
      </c>
      <c r="I117" s="135" t="s">
        <v>617</v>
      </c>
      <c r="J117" s="151">
        <v>74</v>
      </c>
      <c r="K117" s="151">
        <v>164.1</v>
      </c>
      <c r="L117" s="71">
        <v>167.5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7" s="135"/>
      <c r="P117" s="135"/>
      <c r="Q117" s="71"/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7" s="199" t="str">
        <f>IFERROR(_xlfn.XLOOKUP(J117, BASE_MAPA!$B$2:$B$408, BASE_MAPA!$G$2:$G$408), "ERRO")</f>
        <v>MARCO INICIAL - ALTO ARAGUAIA</v>
      </c>
      <c r="V117" s="143" t="s">
        <v>1273</v>
      </c>
      <c r="W117" s="135" t="s">
        <v>1388</v>
      </c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MODERNIZAÇÃO - REGULAGEM</v>
      </c>
      <c r="AJ117" s="8" t="str">
        <f>IF(D117="","*",VLOOKUP(AI117,BS_ATIVIDADE[#Data],3,FALSE))</f>
        <v>MODERNIZAÇÃO</v>
      </c>
      <c r="AK117" s="175" t="str">
        <f>IF(BS_CONTROLE[[#This Row],[Local - Partida]]=0, "-", BS_CONTROLE[[#This Row],[Local - Partida]])</f>
        <v>TID</v>
      </c>
      <c r="AL117" s="175" t="str">
        <f>IF(BS_CONTROLE[[#This Row],[Local - Encerramento]]=0, "-", BS_CONTROLE[[#This Row],[Local - Encerramento]])</f>
        <v>TID</v>
      </c>
      <c r="AM117" s="175" t="str">
        <f>IF(BS_CONTROLE[[#This Row],[Entre - Estações]]=0, "-", BS_CONTROLE[[#This Row],[Entre - Estações]])</f>
        <v>TMO-TCE</v>
      </c>
      <c r="AN117" s="175" t="str">
        <f>IF(BS_CONTROLE[[#This Row],[SB]]=0, "-", BS_CONTROLE[[#This Row],[SB]])</f>
        <v>155TCE</v>
      </c>
      <c r="AO117" s="176">
        <f>IF(BS_CONTROLE[[#This Row],[SUB]]=0, "-", BS_CONTROLE[[#This Row],[SUB]])</f>
        <v>74</v>
      </c>
      <c r="AP117" s="177">
        <f>IF(BS_CONTROLE[[#This Row],[KM - Inicio]]=0, "-", BS_CONTROLE[[#This Row],[KM - Inicio]])</f>
        <v>164.1</v>
      </c>
      <c r="AQ117" s="177">
        <f>IF(BS_CONTROLE[[#This Row],[KM - Fim]]=0, "-", BS_CONTROLE[[#This Row],[KM - Fim]])</f>
        <v>167.5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IF(D117="","*",IFERROR(IF(ISODD(COUNT(AS117:AX117)),"ERRO",SUM((AT117-AS117),(AV117-AU117),(AX117-AW117))),"ERRO"))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7" s="200" t="str">
        <f>IFERROR(_xlfn.XLOOKUP(AO117, BASE_MAPA!$B$2:$B$408, BASE_MAPA!$G$2:$G$408), "ERRO")</f>
        <v>MARCO INICIAL - ALTO ARAGUAIA</v>
      </c>
      <c r="BF117" s="178" t="str">
        <f>IF(BS_CONTROLE[[#This Row],[Responsavel pelo boletim]]=0, "-", BS_CONTROLE[[#This Row],[Responsavel pelo boletim]])</f>
        <v>Augusto/ Efraim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e">
        <f t="shared" si="9"/>
        <v>#DIV/0!</v>
      </c>
      <c r="BR117" s="15" t="e">
        <f t="shared" si="10"/>
        <v>#DIV/0!</v>
      </c>
      <c r="BS117" s="15" t="e">
        <f t="shared" si="11"/>
        <v>#DIV/0!</v>
      </c>
      <c r="BT117" s="157" t="str">
        <f t="shared" si="7"/>
        <v/>
      </c>
    </row>
    <row r="118" spans="1:72" ht="14.45" hidden="1">
      <c r="A118" s="44" t="str">
        <f t="shared" si="8"/>
        <v>V8046088</v>
      </c>
      <c r="B118" s="133">
        <v>46088</v>
      </c>
      <c r="C118" s="7">
        <f>IF(BS_CONTROLE[[#This Row],[DATA]]="","",WEEKNUM(BS_CONTROLE[[#This Row],[DATA]]))</f>
        <v>10</v>
      </c>
      <c r="D118" s="45" t="s">
        <v>209</v>
      </c>
      <c r="E118" s="185">
        <v>111</v>
      </c>
      <c r="F118" s="134" t="s">
        <v>213</v>
      </c>
      <c r="G118" s="8" t="str">
        <f>IF(D118="","*",VLOOKUP(F118,BS_ATIVIDADE[#All],3,FALSE))</f>
        <v>OUTROS</v>
      </c>
      <c r="H118" s="149" t="str" cm="1">
        <f t="array" ref="H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18" s="135" t="s">
        <v>635</v>
      </c>
      <c r="J118" s="151">
        <v>74</v>
      </c>
      <c r="K118" s="151">
        <v>107.7</v>
      </c>
      <c r="L118" s="71">
        <v>290</v>
      </c>
      <c r="M118" s="149" t="s">
        <v>1421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18" s="135">
        <v>0.45833333333333331</v>
      </c>
      <c r="P118" s="135">
        <v>4.1666666666666664E-2</v>
      </c>
      <c r="Q118" s="71">
        <v>1</v>
      </c>
      <c r="R118" s="9" t="str">
        <f>IFERROR(_xlfn.XLOOKUP(F118, BS_ATIVIDADE[ATIVIDADE],BS_ATIVIDADE[UNIDADE] ), "*")</f>
        <v>BINÁRIO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8" s="199" t="str">
        <f>IFERROR(_xlfn.XLOOKUP(J118, BASE_MAPA!$B$2:$B$408, BASE_MAPA!$G$2:$G$408), "ERRO")</f>
        <v>MARCO INICIAL - ALTO ARAGUAIA</v>
      </c>
      <c r="V118" s="143" t="s">
        <v>1238</v>
      </c>
      <c r="W118" s="135" t="s">
        <v>1418</v>
      </c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INSPEÇÃO RIV</v>
      </c>
      <c r="AJ118" s="8" t="str">
        <f>IF(D118="","*",VLOOKUP(AI118,BS_ATIVIDADE[#Data],3,FALSE))</f>
        <v>OUTROS</v>
      </c>
      <c r="AK118" s="175" t="str">
        <f>IF(BS_CONTROLE[[#This Row],[Local - Partida]]=0, "-", BS_CONTROLE[[#This Row],[Local - Partida]])</f>
        <v>K97TIN</v>
      </c>
      <c r="AL118" s="175" t="str">
        <f>IF(BS_CONTROLE[[#This Row],[Local - Encerramento]]=0, "-", BS_CONTROLE[[#This Row],[Local - Encerramento]])</f>
        <v>TCS2</v>
      </c>
      <c r="AM118" s="175" t="str">
        <f>IF(BS_CONTROLE[[#This Row],[Entre - Estações]]=0, "-", BS_CONTROLE[[#This Row],[Entre - Estações]])</f>
        <v>TIN-TCS</v>
      </c>
      <c r="AN118" s="175" t="str">
        <f>IF(BS_CONTROLE[[#This Row],[SB]]=0, "-", BS_CONTROLE[[#This Row],[SB]])</f>
        <v>K97TIN</v>
      </c>
      <c r="AO118" s="176">
        <f>IF(BS_CONTROLE[[#This Row],[SUB]]=0, "-", BS_CONTROLE[[#This Row],[SUB]])</f>
        <v>74</v>
      </c>
      <c r="AP118" s="177">
        <f>IF(BS_CONTROLE[[#This Row],[KM - Inicio]]=0, "-", BS_CONTROLE[[#This Row],[KM - Inicio]])</f>
        <v>107.7</v>
      </c>
      <c r="AQ118" s="177">
        <f>IF(BS_CONTROLE[[#This Row],[KM - Fim]]=0, "-", BS_CONTROLE[[#This Row],[KM - Fim]])</f>
        <v>290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BINÁRIO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8" s="200" t="str">
        <f>IFERROR(_xlfn.XLOOKUP(AO118, BASE_MAPA!$B$2:$B$408, BASE_MAPA!$G$2:$G$408), "ERRO")</f>
        <v>MARCO INICIAL - ALTO ARAGUAIA</v>
      </c>
      <c r="BF118" s="178" t="str">
        <f>IF(BS_CONTROLE[[#This Row],[Responsavel pelo boletim]]=0, "-", BS_CONTROLE[[#This Row],[Responsavel pelo boletim]])</f>
        <v>Fernanda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si="8"/>
        <v>E4646088</v>
      </c>
      <c r="B119" s="133">
        <v>46088</v>
      </c>
      <c r="C119" s="7">
        <f>IF(BS_CONTROLE[[#This Row],[DATA]]="","",WEEKNUM(BS_CONTROLE[[#This Row],[DATA]]))</f>
        <v>10</v>
      </c>
      <c r="D119" s="250" t="s">
        <v>158</v>
      </c>
      <c r="E119" s="185">
        <v>112</v>
      </c>
      <c r="F119" s="134" t="s">
        <v>78</v>
      </c>
      <c r="G119" s="8" t="str">
        <f>IF(D119="","*",VLOOKUP(F119,BS_ATIVIDADE[#All],3,FALSE))</f>
        <v>TRILHEIRO - DESCARGA</v>
      </c>
      <c r="H119" s="135" t="s">
        <v>1413</v>
      </c>
      <c r="I119" s="135" t="s">
        <v>1413</v>
      </c>
      <c r="J119" s="151">
        <v>74</v>
      </c>
      <c r="K119" s="151">
        <v>109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9" s="149" t="s">
        <v>1422</v>
      </c>
      <c r="O119" s="135">
        <v>0.45833333333333331</v>
      </c>
      <c r="P119" s="135">
        <v>8.3333333333333329E-2</v>
      </c>
      <c r="Q119" s="71">
        <v>624</v>
      </c>
      <c r="R119" s="9" t="str">
        <f>IFERROR(_xlfn.XLOOKUP(F119, BS_ATIVIDADE[ATIVIDADE],BS_ATIVIDADE[UNIDADE] ), "*")</f>
        <v>M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199" t="str">
        <f>IFERROR(_xlfn.XLOOKUP(J119, BASE_MAPA!$B$2:$B$408, BASE_MAPA!$G$2:$G$408), "ERRO")</f>
        <v>MARCO INICIAL - ALTO ARAGUAIA</v>
      </c>
      <c r="V119" s="143" t="s">
        <v>1414</v>
      </c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TRILHEIRO - DESCARGA</v>
      </c>
      <c r="AJ119" s="8" t="str">
        <f>IF(D119="","*",VLOOKUP(AI119,BS_ATIVIDADE[#Data],3,FALSE))</f>
        <v>TRILHEIRO - DESCARGA</v>
      </c>
      <c r="AK119" s="175" t="str">
        <f>IF(BS_CONTROLE[[#This Row],[Local - Partida]]=0, "-", BS_CONTROLE[[#This Row],[Local - Partida]])</f>
        <v>TINPAT2</v>
      </c>
      <c r="AL119" s="175" t="str">
        <f>IF(BS_CONTROLE[[#This Row],[Local - Encerramento]]=0, "-", BS_CONTROLE[[#This Row],[Local - Encerramento]])</f>
        <v>TINPAT2</v>
      </c>
      <c r="AM119" s="175" t="str">
        <f>IF(BS_CONTROLE[[#This Row],[Entre - Estações]]=0, "-", BS_CONTROLE[[#This Row],[Entre - Estações]])</f>
        <v>TIN</v>
      </c>
      <c r="AN119" s="175" t="str">
        <f>IF(BS_CONTROLE[[#This Row],[SB]]=0, "-", BS_CONTROLE[[#This Row],[SB]])</f>
        <v>TINPAT1</v>
      </c>
      <c r="AO119" s="176">
        <f>IF(BS_CONTROLE[[#This Row],[SUB]]=0, "-", BS_CONTROLE[[#This Row],[SUB]])</f>
        <v>74</v>
      </c>
      <c r="AP119" s="177">
        <f>IF(BS_CONTROLE[[#This Row],[KM - Inicio]]=0, "-", BS_CONTROLE[[#This Row],[KM - Inicio]])</f>
        <v>109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M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200" t="str">
        <f>IFERROR(_xlfn.XLOOKUP(AO119, BASE_MAPA!$B$2:$B$408, BASE_MAPA!$G$2:$G$408), "ERRO")</f>
        <v>MARCO INICIAL - ALTO ARAGUAIA</v>
      </c>
      <c r="BF119" s="178" t="str">
        <f>IF(BS_CONTROLE[[#This Row],[Responsavel pelo boletim]]=0, "-", BS_CONTROLE[[#This Row],[Responsavel pelo boletim]])</f>
        <v>Herbert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Produção e Intervalo</v>
      </c>
      <c r="BR119" s="15">
        <f t="shared" si="10"/>
        <v>0</v>
      </c>
      <c r="BS119" s="15">
        <f t="shared" si="11"/>
        <v>0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>BRUNO (TF-525)46088</v>
      </c>
      <c r="B122" s="133">
        <v>46088</v>
      </c>
      <c r="C122" s="7">
        <f>IF(BS_CONTROLE[[#This Row],[DATA]]="","",WEEKNUM(BS_CONTROLE[[#This Row],[DATA]]))</f>
        <v>10</v>
      </c>
      <c r="D122" s="45" t="s">
        <v>278</v>
      </c>
      <c r="E122" s="185">
        <v>115</v>
      </c>
      <c r="F122" s="134" t="s">
        <v>193</v>
      </c>
      <c r="G122" s="8" t="str">
        <f>IF(D122="","*",VLOOKUP(F122,BS_ATIVIDADE[#All],3,FALSE))</f>
        <v>SOLDA</v>
      </c>
      <c r="H122" s="149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22" s="135" t="s">
        <v>11</v>
      </c>
      <c r="J122" s="151">
        <v>74</v>
      </c>
      <c r="K122" s="151">
        <v>97.04</v>
      </c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22" s="135">
        <v>0.33333333333333331</v>
      </c>
      <c r="P122" s="135">
        <v>8.3333333333333329E-2</v>
      </c>
      <c r="Q122" s="71">
        <v>2</v>
      </c>
      <c r="R122" s="9" t="str">
        <f>IFERROR(_xlfn.XLOOKUP(F122, BS_ATIVIDADE[ATIVIDADE],BS_ATIVIDADE[UNIDADE] ), "*")</f>
        <v>Nº DE SOLDA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199" t="str">
        <f>IFERROR(_xlfn.XLOOKUP(J122, BASE_MAPA!$B$2:$B$408, BASE_MAPA!$G$2:$G$408), "ERRO")</f>
        <v>MARCO INICIAL - ALTO ARAGUAIA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PDM - SOLDA</v>
      </c>
      <c r="AJ122" s="8" t="str">
        <f>IF(D122="","*",VLOOKUP(AI122,BS_ATIVIDADE[#Data],3,FALSE))</f>
        <v>SOLDA</v>
      </c>
      <c r="AK122" s="175" t="str">
        <f>IF(BS_CONTROLE[[#This Row],[Local - Partida]]=0, "-", BS_CONTROLE[[#This Row],[Local - Partida]])</f>
        <v>K97TIN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TSP-TIN</v>
      </c>
      <c r="AN122" s="175" t="str">
        <f>IF(BS_CONTROLE[[#This Row],[SB]]=0, "-", BS_CONTROLE[[#This Row],[SB]])</f>
        <v>K97TIN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97.04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Nº DE SOLDA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Produção e Intervalo</v>
      </c>
      <c r="BR122" s="15">
        <f t="shared" si="10"/>
        <v>0</v>
      </c>
      <c r="BS122" s="15">
        <f t="shared" si="11"/>
        <v>0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>D124&amp;B124</f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>D125&amp;B125</f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>V8646089</v>
      </c>
      <c r="B126" s="133">
        <v>46089</v>
      </c>
      <c r="C126" s="7">
        <f>IF(BS_CONTROLE[[#This Row],[DATA]]="","",WEEKNUM(BS_CONTROLE[[#This Row],[DATA]]))</f>
        <v>11</v>
      </c>
      <c r="D126" s="45" t="s">
        <v>217</v>
      </c>
      <c r="E126" s="185">
        <v>119</v>
      </c>
      <c r="F126" s="134" t="s">
        <v>116</v>
      </c>
      <c r="G126" s="8" t="str">
        <f>IF(D126="","*",VLOOKUP(F126,BS_ATIVIDADE[#All],3,FALSE))</f>
        <v>MECANIZAÇÃO - SOCADORA</v>
      </c>
      <c r="H126" s="135" t="s">
        <v>746</v>
      </c>
      <c r="I126" s="135" t="s">
        <v>746</v>
      </c>
      <c r="J126" s="151">
        <v>98</v>
      </c>
      <c r="K126" s="151">
        <v>664</v>
      </c>
      <c r="L126" s="71">
        <v>667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6" s="135">
        <v>0.41666666666666669</v>
      </c>
      <c r="P126" s="135">
        <v>8.3333333333333329E-2</v>
      </c>
      <c r="Q126" s="71">
        <v>1120</v>
      </c>
      <c r="R126" s="9" t="str">
        <f>IFERROR(_xlfn.XLOOKUP(F126, BS_ATIVIDADE[ATIVIDADE],BS_ATIVIDADE[UNIDADE] ), "*")</f>
        <v>M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6" s="199" t="str">
        <f>IFERROR(_xlfn.XLOOKUP(J126, BASE_MAPA!$B$2:$B$408, BASE_MAPA!$G$2:$G$408), "ERRO")</f>
        <v>ALTO ARAGUAIA - RONDONOPOLIS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MECANIZAÇÃO - SOCADORA</v>
      </c>
      <c r="AJ126" s="8" t="str">
        <f>IF(D126="","*",VLOOKUP(AI126,BS_ATIVIDADE[#Data],3,FALSE))</f>
        <v>MECANIZAÇÃO - SOCADORA</v>
      </c>
      <c r="AK126" s="175" t="str">
        <f>IF(BS_CONTROLE[[#This Row],[Local - Partida]]=0, "-", BS_CONTROLE[[#This Row],[Local - Partida]])</f>
        <v>TIQ2</v>
      </c>
      <c r="AL126" s="175" t="str">
        <f>IF(BS_CONTROLE[[#This Row],[Local - Encerramento]]=0, "-", BS_CONTROLE[[#This Row],[Local - Encerramento]])</f>
        <v>TIQ2</v>
      </c>
      <c r="AM126" s="175" t="str">
        <f>IF(BS_CONTROLE[[#This Row],[Entre - Estações]]=0, "-", BS_CONTROLE[[#This Row],[Entre - Estações]])</f>
        <v>TBS-TAL</v>
      </c>
      <c r="AN126" s="175" t="str">
        <f>IF(BS_CONTROLE[[#This Row],[SB]]=0, "-", BS_CONTROLE[[#This Row],[SB]])</f>
        <v>TBS671</v>
      </c>
      <c r="AO126" s="176">
        <f>IF(BS_CONTROLE[[#This Row],[SUB]]=0, "-", BS_CONTROLE[[#This Row],[SUB]])</f>
        <v>98</v>
      </c>
      <c r="AP126" s="177">
        <f>IF(BS_CONTROLE[[#This Row],[KM - Inicio]]=0, "-", BS_CONTROLE[[#This Row],[KM - Inicio]])</f>
        <v>664</v>
      </c>
      <c r="AQ126" s="177">
        <f>IF(BS_CONTROLE[[#This Row],[KM - Fim]]=0, "-", BS_CONTROLE[[#This Row],[KM - Fim]])</f>
        <v>667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6" s="200" t="str">
        <f>IFERROR(_xlfn.XLOOKUP(AO126, BASE_MAPA!$B$2:$B$408, BASE_MAPA!$G$2:$G$408), "ERRO")</f>
        <v>ALTO ARAGUAIA - RONDONOPOLIS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Produção e Intervalo</v>
      </c>
      <c r="BR126" s="15">
        <f t="shared" si="10"/>
        <v>0</v>
      </c>
      <c r="BS126" s="15">
        <f t="shared" si="11"/>
        <v>0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>V4846089</v>
      </c>
      <c r="B128" s="133">
        <v>46089</v>
      </c>
      <c r="C128" s="7">
        <f>IF(BS_CONTROLE[[#This Row],[DATA]]="","",WEEKNUM(BS_CONTROLE[[#This Row],[DATA]]))</f>
        <v>11</v>
      </c>
      <c r="D128" s="45" t="s">
        <v>183</v>
      </c>
      <c r="E128" s="185">
        <v>121</v>
      </c>
      <c r="F128" s="134"/>
      <c r="G128" s="8" t="e">
        <f>IF(D128="","*",VLOOKUP(F128,BS_ATIVIDADE[#All],3,FALSE))</f>
        <v>#N/A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e">
        <f>IF(D128="","*",VLOOKUP(AI128,BS_ATIVIDADE[#Data],3,FALSE))</f>
        <v>#N/A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>V8046089</v>
      </c>
      <c r="B130" s="133">
        <v>46089</v>
      </c>
      <c r="C130" s="7">
        <f>IF(BS_CONTROLE[[#This Row],[DATA]]="","",WEEKNUM(BS_CONTROLE[[#This Row],[DATA]]))</f>
        <v>11</v>
      </c>
      <c r="D130" s="45" t="s">
        <v>209</v>
      </c>
      <c r="E130" s="185">
        <v>123</v>
      </c>
      <c r="F130" s="134" t="s">
        <v>213</v>
      </c>
      <c r="G130" s="8" t="str">
        <f>IF(D130="","*",VLOOKUP(F130,BS_ATIVIDADE[#All],3,FALSE))</f>
        <v>OUTROS</v>
      </c>
      <c r="H130" s="135"/>
      <c r="I130" s="135"/>
      <c r="J130" s="151">
        <v>74</v>
      </c>
      <c r="K130" s="151">
        <v>404</v>
      </c>
      <c r="L130" s="71">
        <v>497</v>
      </c>
      <c r="M130" s="149" t="s">
        <v>1423</v>
      </c>
      <c r="N130" s="149" t="s">
        <v>1424</v>
      </c>
      <c r="O130" s="135">
        <v>11</v>
      </c>
      <c r="P130" s="135"/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0" s="199" t="str">
        <f>IFERROR(_xlfn.XLOOKUP(J130, BASE_MAPA!$B$2:$B$408, BASE_MAPA!$G$2:$G$408), "ERRO")</f>
        <v>MARCO INICIAL - ALTO ARAGUAIA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INSPEÇÃO RIV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TOM-TGR</v>
      </c>
      <c r="AN130" s="175" t="str">
        <f>IF(BS_CONTROLE[[#This Row],[SB]]=0, "-", BS_CONTROLE[[#This Row],[SB]])</f>
        <v>TOMTGR</v>
      </c>
      <c r="AO130" s="176">
        <f>IF(BS_CONTROLE[[#This Row],[SUB]]=0, "-", BS_CONTROLE[[#This Row],[SUB]])</f>
        <v>74</v>
      </c>
      <c r="AP130" s="177">
        <f>IF(BS_CONTROLE[[#This Row],[KM - Inicio]]=0, "-", BS_CONTROLE[[#This Row],[KM - Inicio]])</f>
        <v>404</v>
      </c>
      <c r="AQ130" s="177">
        <f>IF(BS_CONTROLE[[#This Row],[KM - Fim]]=0, "-", BS_CONTROLE[[#This Row],[KM - Fim]])</f>
        <v>497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0" s="200" t="str">
        <f>IFERROR(_xlfn.XLOOKUP(AO130, BASE_MAPA!$B$2:$B$408, BASE_MAPA!$G$2:$G$408), "ERRO")</f>
        <v>MARCO INICIAL - ALTO ARAGUAIA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e">
        <f t="shared" si="9"/>
        <v>#DIV/0!</v>
      </c>
      <c r="BR130" s="15" t="e">
        <f t="shared" si="10"/>
        <v>#DIV/0!</v>
      </c>
      <c r="BS130" s="15">
        <f t="shared" si="11"/>
        <v>0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1425</v>
      </c>
    </row>
  </sheetData>
  <protectedRanges>
    <protectedRange sqref="J6:K6 J25:K802" name="Range1_8_1"/>
    <protectedRange sqref="O6:Q6 O25:Q802" name="Range1_9_1"/>
    <protectedRange sqref="V6:Y6 W24 V25:Y82 V83 X83:Y83 V84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512" operator="equal">
      <formula>"ERRO"</formula>
    </cfRule>
  </conditionalFormatting>
  <conditionalFormatting sqref="X4 Y1:Z802">
    <cfRule type="cellIs" dxfId="120" priority="18501" operator="equal">
      <formula>"OPORTUNIDADE"</formula>
    </cfRule>
  </conditionalFormatting>
  <conditionalFormatting sqref="AZ6:AZ802">
    <cfRule type="expression" dxfId="119" priority="18496">
      <formula>$BU6=1</formula>
    </cfRule>
  </conditionalFormatting>
  <conditionalFormatting sqref="BQ6:BQ802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802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802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65:Y1048576">
    <cfRule type="cellIs" dxfId="108" priority="18318" operator="equal">
      <formula>"OPORTUNIDADE"</formula>
    </cfRule>
  </conditionalFormatting>
  <conditionalFormatting sqref="Y1047865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2 BK75 BK63:BK64 BK66:BK73 BK87 BK89:BK90 BK84 BK93 BK95 BK100:BK101 BK103:BK802">
    <cfRule type="iconSet" priority="217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13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16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18">
      <iconSet showValue="0">
        <cfvo type="percent" val="0"/>
        <cfvo type="num" val="1"/>
        <cfvo type="num" val="1" gte="0"/>
      </iconSet>
    </cfRule>
    <cfRule type="iconSet" priority="22019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allowBlank="1" showInputMessage="1" showErrorMessage="1" sqref="BC6:BD802" xr:uid="{DA339A89-DDF9-4B37-A386-8A8CB98BBFC6}"/>
    <dataValidation type="list" allowBlank="1" showInputMessage="1" showErrorMessage="1" sqref="D6:D80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1426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1427</v>
      </c>
      <c r="E3" s="186" t="s">
        <v>1428</v>
      </c>
      <c r="F3" s="186" t="s">
        <v>1429</v>
      </c>
      <c r="G3" s="186" t="s">
        <v>1430</v>
      </c>
      <c r="H3" s="186" t="s">
        <v>1431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1433</v>
      </c>
      <c r="D13" s="187">
        <v>9049</v>
      </c>
      <c r="E13" s="188">
        <v>46044</v>
      </c>
      <c r="F13" s="190" t="s">
        <v>1434</v>
      </c>
      <c r="G13" s="187" t="s">
        <v>1435</v>
      </c>
      <c r="H13" s="187"/>
    </row>
    <row r="14" spans="3:8">
      <c r="C14" s="187" t="s">
        <v>1433</v>
      </c>
      <c r="D14" s="187">
        <v>9044</v>
      </c>
      <c r="E14" s="188">
        <v>46044</v>
      </c>
      <c r="F14" s="190" t="s">
        <v>1436</v>
      </c>
      <c r="G14" s="187" t="s">
        <v>1437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1438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1438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1439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1440</v>
      </c>
      <c r="C4" s="191" t="s">
        <v>1441</v>
      </c>
      <c r="D4" s="191" t="s">
        <v>1442</v>
      </c>
      <c r="E4" s="191" t="s">
        <v>1443</v>
      </c>
      <c r="F4" s="191" t="s">
        <v>547</v>
      </c>
      <c r="G4" s="191" t="s">
        <v>1444</v>
      </c>
    </row>
    <row r="5" spans="2:7">
      <c r="B5" s="192" t="s">
        <v>1445</v>
      </c>
      <c r="C5" s="192">
        <v>309525</v>
      </c>
      <c r="D5" s="192" t="s">
        <v>1446</v>
      </c>
      <c r="E5" s="192" t="s">
        <v>249</v>
      </c>
      <c r="F5" s="192" t="s">
        <v>1447</v>
      </c>
      <c r="G5" s="193">
        <v>46296</v>
      </c>
    </row>
    <row r="6" spans="2:7">
      <c r="B6" s="192" t="s">
        <v>1448</v>
      </c>
      <c r="C6" s="192">
        <v>257410</v>
      </c>
      <c r="D6" s="192" t="s">
        <v>1449</v>
      </c>
      <c r="E6" s="192" t="s">
        <v>249</v>
      </c>
      <c r="F6" s="192" t="s">
        <v>1447</v>
      </c>
      <c r="G6" s="193"/>
    </row>
    <row r="7" spans="2:7">
      <c r="B7" s="192" t="s">
        <v>1259</v>
      </c>
      <c r="C7" s="192">
        <v>256875</v>
      </c>
      <c r="D7" s="192" t="s">
        <v>1450</v>
      </c>
      <c r="E7" s="192" t="s">
        <v>249</v>
      </c>
      <c r="F7" s="192" t="s">
        <v>1447</v>
      </c>
      <c r="G7" s="193">
        <v>46296</v>
      </c>
    </row>
    <row r="8" spans="2:7">
      <c r="B8" s="192" t="s">
        <v>1451</v>
      </c>
      <c r="C8" s="192">
        <v>257278</v>
      </c>
      <c r="D8" s="192" t="s">
        <v>1452</v>
      </c>
      <c r="E8" s="192" t="s">
        <v>240</v>
      </c>
      <c r="F8" s="192" t="s">
        <v>1453</v>
      </c>
      <c r="G8" s="193">
        <v>46235</v>
      </c>
    </row>
    <row r="9" spans="2:7">
      <c r="B9" s="192" t="s">
        <v>1454</v>
      </c>
      <c r="C9" s="192">
        <v>257033</v>
      </c>
      <c r="D9" s="192" t="s">
        <v>1455</v>
      </c>
      <c r="E9" s="192" t="s">
        <v>240</v>
      </c>
      <c r="F9" s="192" t="s">
        <v>564</v>
      </c>
      <c r="G9" s="192" t="s">
        <v>1456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1457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1458</v>
      </c>
      <c r="B2" s="91" t="s">
        <v>1459</v>
      </c>
      <c r="C2" s="91" t="s">
        <v>7</v>
      </c>
      <c r="D2" s="92" t="s">
        <v>1175</v>
      </c>
      <c r="E2" s="92" t="s">
        <v>547</v>
      </c>
      <c r="F2" s="92" t="s">
        <v>1460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1461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3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*</v>
      </c>
      <c r="C106" s="95" t="str">
        <f>IF(FN_MC!Z107="","*",FN_MC!Z107)</f>
        <v>*</v>
      </c>
      <c r="D106" s="96" t="str">
        <f>IF(FN_MC!S107="","*",FN_MC!S107)</f>
        <v>FERRONORTE</v>
      </c>
      <c r="E106" s="96" t="str">
        <f>IF(FN_MC!T107="","*",FN_MC!T107)</f>
        <v>TGR-TRO</v>
      </c>
      <c r="F106" s="96">
        <f>IF(FN_MC!B107="","*",FN_MC!B107)</f>
        <v>46088</v>
      </c>
      <c r="G106" s="96" t="str">
        <f>IF(FN_MC!D107="","*",FN_MC!D107)</f>
        <v>V86</v>
      </c>
      <c r="H106" s="96" t="str">
        <f>IF(FN_MC!F107="","*",FN_MC!F107)</f>
        <v>MECANIZAÇÃO - SOCADORA</v>
      </c>
      <c r="I106" s="96" t="str">
        <f>IF(FN_MC!H107="","*",FN_MC!H107)</f>
        <v>TIQ2</v>
      </c>
      <c r="J106" s="96" t="str">
        <f>IF(FN_MC!I107="","*",FN_MC!I107)</f>
        <v>TIQ2</v>
      </c>
      <c r="K106" s="96" t="str">
        <f>IF(FN_MC!M107="","*",FN_MC!M107)</f>
        <v>TBS-TAL</v>
      </c>
      <c r="L106" s="196" t="str">
        <f>IF(FN_MC!N107="","*",FN_MC!N107)</f>
        <v>TBS671</v>
      </c>
      <c r="M106" s="97">
        <f>IF(FN_MC!J107="","*",FN_MC!J107)</f>
        <v>98</v>
      </c>
      <c r="N106" s="183">
        <f>IF(FN_MC!K107="","*",FN_MC!K107)</f>
        <v>664</v>
      </c>
      <c r="O106" s="183">
        <f>IF(FN_MC!L107="","*",FN_MC!L107)</f>
        <v>667</v>
      </c>
      <c r="P106" s="107">
        <f>IF(FN_MC!O107="","*",FN_MC!O107)</f>
        <v>0.27777777777777779</v>
      </c>
      <c r="Q106" s="107">
        <f>IF(FN_MC!P107="","*",FN_MC!P107)</f>
        <v>0.125</v>
      </c>
      <c r="R106" s="96" t="str">
        <f>IF(FN_MC!Q107="","*",CONCATENATE(FN_MC!Q107," ",FN_MC!R107))</f>
        <v>1680 M</v>
      </c>
      <c r="S106" s="96" t="str">
        <f>IF(FN_MC!V107="","*",FN_MC!V107)</f>
        <v>Camila</v>
      </c>
      <c r="T106" s="96" t="str">
        <f>IF(FN_MC!W107="","*",FN_MC!W107)</f>
        <v>socaria mecanizada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*</v>
      </c>
      <c r="C108" s="95" t="str">
        <f>IF(FN_MC!Z109="","*",FN_MC!Z109)</f>
        <v>*</v>
      </c>
      <c r="D108" s="96" t="str">
        <f>IF(FN_MC!S109="","*",FN_MC!S109)</f>
        <v>FERRONORTE</v>
      </c>
      <c r="E108" s="96" t="str">
        <f>IF(FN_MC!T109="","*",FN_MC!T109)</f>
        <v>TGR-TRO</v>
      </c>
      <c r="F108" s="96">
        <f>IF(FN_MC!B109="","*",FN_MC!B109)</f>
        <v>46088</v>
      </c>
      <c r="G108" s="96" t="str">
        <f>IF(FN_MC!D109="","*",FN_MC!D109)</f>
        <v>V77</v>
      </c>
      <c r="H108" s="96" t="str">
        <f>IF(FN_MC!F109="","*",FN_MC!F109)</f>
        <v>DETECÇÃO - RONDA 7 DIAS</v>
      </c>
      <c r="I108" s="96" t="str">
        <f>IF(FN_MC!H109="","*",FN_MC!H109)</f>
        <v>TIQ</v>
      </c>
      <c r="J108" s="96" t="str">
        <f>IF(FN_MC!I109="","*",FN_MC!I109)</f>
        <v>TGR2</v>
      </c>
      <c r="K108" s="96" t="str">
        <f>IF(FN_MC!M109="","*",FN_MC!M109)</f>
        <v>TIQ</v>
      </c>
      <c r="L108" s="196" t="str">
        <f>IF(FN_MC!N109="","*",FN_MC!N109)</f>
        <v>TIQ1</v>
      </c>
      <c r="M108" s="97">
        <f>IF(FN_MC!J109="","*",FN_MC!J109)</f>
        <v>98</v>
      </c>
      <c r="N108" s="183">
        <f>IF(FN_MC!K109="","*",FN_MC!K109)</f>
        <v>616</v>
      </c>
      <c r="O108" s="183" t="str">
        <f>IF(FN_MC!L109="","*",FN_MC!L109)</f>
        <v>-</v>
      </c>
      <c r="P108" s="107">
        <f>IF(FN_MC!O109="","*",FN_MC!O109)</f>
        <v>0.29166666666666669</v>
      </c>
      <c r="Q108" s="107" t="str">
        <f>IF(FN_MC!P109="","*",FN_MC!P109)</f>
        <v>*</v>
      </c>
      <c r="R108" s="96" t="str">
        <f>IF(FN_MC!Q109="","*",CONCATENATE(FN_MC!Q109," ",FN_MC!R109))</f>
        <v>*</v>
      </c>
      <c r="S108" s="96" t="str">
        <f>IF(FN_MC!V109="","*",FN_MC!V109)</f>
        <v>*</v>
      </c>
      <c r="T108" s="96" t="str">
        <f>IF(FN_MC!W109="","*",FN_MC!W109)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Oportunidade</v>
      </c>
      <c r="C111" s="95" t="str">
        <f>IF(FN_MC!Z112="","*",FN_MC!Z112)</f>
        <v>*</v>
      </c>
      <c r="D111" s="96" t="str">
        <f>IF(FN_MC!S112="","*",FN_MC!S112)</f>
        <v>FERRONORTE</v>
      </c>
      <c r="E111" s="96" t="str">
        <f>IF(FN_MC!T112="","*",FN_MC!T112)</f>
        <v>TCS-TGR</v>
      </c>
      <c r="F111" s="96">
        <f>IF(FN_MC!B112="","*",FN_MC!B112)</f>
        <v>46088</v>
      </c>
      <c r="G111" s="96" t="str">
        <f>IF(FN_MC!D112="","*",FN_MC!D112)</f>
        <v>ELSON (TF-526)</v>
      </c>
      <c r="H111" s="96" t="str">
        <f>IF(FN_MC!F112="","*",FN_MC!F112)</f>
        <v>PDM - SOLDA</v>
      </c>
      <c r="I111" s="96" t="str">
        <f>IF(FN_MC!H112="","*",FN_MC!H112)</f>
        <v>TOM2</v>
      </c>
      <c r="J111" s="96" t="str">
        <f>IF(FN_MC!I112="","*",FN_MC!I112)</f>
        <v>-</v>
      </c>
      <c r="K111" s="96" t="str">
        <f>IF(FN_MC!M112="","*",FN_MC!M112)</f>
        <v>TOM</v>
      </c>
      <c r="L111" s="196" t="str">
        <f>IF(FN_MC!N112="","*",FN_MC!N112)</f>
        <v>TOM2</v>
      </c>
      <c r="M111" s="97">
        <f>IF(FN_MC!J112="","*",FN_MC!J112)</f>
        <v>74</v>
      </c>
      <c r="N111" s="183">
        <f>IF(FN_MC!K112="","*",FN_MC!K112)</f>
        <v>403.505</v>
      </c>
      <c r="O111" s="183" t="str">
        <f>IF(FN_MC!L112="","*",FN_MC!L112)</f>
        <v>-</v>
      </c>
      <c r="P111" s="107">
        <f>IF(FN_MC!O112="","*",FN_MC!O112)</f>
        <v>0.375</v>
      </c>
      <c r="Q111" s="107">
        <f>IF(FN_MC!P112="","*",FN_MC!P112)</f>
        <v>6.25E-2</v>
      </c>
      <c r="R111" s="96" t="str">
        <f>IF(FN_MC!Q112="","*",CONCATENATE(FN_MC!Q112," ",FN_MC!R112))</f>
        <v>1 Nº DE SOLDA</v>
      </c>
      <c r="S111" s="96" t="str">
        <f>IF(FN_MC!V112="","*",FN_MC!V112)</f>
        <v>Elson</v>
      </c>
      <c r="T111" s="96" t="str">
        <f>IF(FN_MC!W112="","*",FN_MC!W112)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FERRONORTE</v>
      </c>
      <c r="E114" s="96" t="str">
        <f>IF(FN_MC!T115="","*",FN_MC!T115)</f>
        <v>TMI-TCS</v>
      </c>
      <c r="F114" s="96">
        <f>IF(FN_MC!B115="","*",FN_MC!B115)</f>
        <v>46088</v>
      </c>
      <c r="G114" s="96" t="str">
        <f>IF(FN_MC!D115="","*",FN_MC!D115)</f>
        <v>V48</v>
      </c>
      <c r="H114" s="96" t="str">
        <f>IF(FN_MC!F115="","*",FN_MC!F115)</f>
        <v>MODERNIZAÇÃO - SOCADORA</v>
      </c>
      <c r="I114" s="96" t="str">
        <f>IF(FN_MC!H115="","*",FN_MC!H115)</f>
        <v>TVI2</v>
      </c>
      <c r="J114" s="96" t="str">
        <f>IF(FN_MC!I115="","*",FN_MC!I115)</f>
        <v>TVI2</v>
      </c>
      <c r="K114" s="96" t="str">
        <f>IF(FN_MC!M115="","*",FN_MC!M115)</f>
        <v>ZRW-TRP</v>
      </c>
      <c r="L114" s="196" t="str">
        <f>IF(FN_MC!N115="","*",FN_MC!N115)</f>
        <v>TMITRP</v>
      </c>
      <c r="M114" s="97">
        <f>IF(FN_MC!J115="","*",FN_MC!J115)</f>
        <v>74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FERRONORTE</v>
      </c>
      <c r="E116" s="96" t="str">
        <f>IF(FN_MC!T117="","*",FN_MC!T117)</f>
        <v>TMI-TCS</v>
      </c>
      <c r="F116" s="96">
        <f>IF(FN_MC!B117="","*",FN_MC!B117)</f>
        <v>46088</v>
      </c>
      <c r="G116" s="96" t="str">
        <f>IF(FN_MC!D117="","*",FN_MC!D117)</f>
        <v>V66</v>
      </c>
      <c r="H116" s="96" t="str">
        <f>IF(FN_MC!F117="","*",FN_MC!F117)</f>
        <v>MODERNIZAÇÃO - REGULAGEM</v>
      </c>
      <c r="I116" s="96" t="str">
        <f>IF(FN_MC!H117="","*",FN_MC!H117)</f>
        <v>TID</v>
      </c>
      <c r="J116" s="96" t="str">
        <f>IF(FN_MC!I117="","*",FN_MC!I117)</f>
        <v>TID</v>
      </c>
      <c r="K116" s="96" t="str">
        <f>IF(FN_MC!M117="","*",FN_MC!M117)</f>
        <v>TMO-TCE</v>
      </c>
      <c r="L116" s="196" t="str">
        <f>IF(FN_MC!N117="","*",FN_MC!N117)</f>
        <v>155TCE</v>
      </c>
      <c r="M116" s="97">
        <f>IF(FN_MC!J117="","*",FN_MC!J117)</f>
        <v>74</v>
      </c>
      <c r="N116" s="183">
        <f>IF(FN_MC!K117="","*",FN_MC!K117)</f>
        <v>164.1</v>
      </c>
      <c r="O116" s="183">
        <f>IF(FN_MC!L117="","*",FN_MC!L117)</f>
        <v>167.5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Augusto/ Efraim</v>
      </c>
      <c r="T116" s="96" t="str">
        <f>IF(FN_MC!W117="","*",FN_MC!W117)</f>
        <v>Regulagem de brita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FERRONORTE</v>
      </c>
      <c r="E117" s="96" t="str">
        <f>IF(FN_MC!T118="","*",FN_MC!T118)</f>
        <v>TMI-TCS</v>
      </c>
      <c r="F117" s="96">
        <f>IF(FN_MC!B118="","*",FN_MC!B118)</f>
        <v>46088</v>
      </c>
      <c r="G117" s="96" t="str">
        <f>IF(FN_MC!D118="","*",FN_MC!D118)</f>
        <v>V80</v>
      </c>
      <c r="H117" s="96" t="str">
        <f>IF(FN_MC!F118="","*",FN_MC!F118)</f>
        <v>INSPEÇÃO RIV</v>
      </c>
      <c r="I117" s="96" t="str">
        <f>IF(FN_MC!H118="","*",FN_MC!H118)</f>
        <v>K97TIN</v>
      </c>
      <c r="J117" s="96" t="str">
        <f>IF(FN_MC!I118="","*",FN_MC!I118)</f>
        <v>TCS2</v>
      </c>
      <c r="K117" s="96" t="str">
        <f>IF(FN_MC!M118="","*",FN_MC!M118)</f>
        <v>TIN-TCS</v>
      </c>
      <c r="L117" s="196" t="str">
        <f>IF(FN_MC!N118="","*",FN_MC!N118)</f>
        <v>K97TIN</v>
      </c>
      <c r="M117" s="97">
        <f>IF(FN_MC!J118="","*",FN_MC!J118)</f>
        <v>74</v>
      </c>
      <c r="N117" s="183">
        <f>IF(FN_MC!K118="","*",FN_MC!K118)</f>
        <v>107.7</v>
      </c>
      <c r="O117" s="183">
        <f>IF(FN_MC!L118="","*",FN_MC!L118)</f>
        <v>290</v>
      </c>
      <c r="P117" s="107">
        <f>IF(FN_MC!O118="","*",FN_MC!O118)</f>
        <v>0.45833333333333331</v>
      </c>
      <c r="Q117" s="107">
        <f>IF(FN_MC!P118="","*",FN_MC!P118)</f>
        <v>4.1666666666666664E-2</v>
      </c>
      <c r="R117" s="96" t="str">
        <f>IF(FN_MC!Q118="","*",CONCATENATE(FN_MC!Q118," ",FN_MC!R118))</f>
        <v>1 BINÁRIO</v>
      </c>
      <c r="S117" s="96" t="str">
        <f>IF(FN_MC!V118="","*",FN_MC!V118)</f>
        <v>Fernanda</v>
      </c>
      <c r="T117" s="96" t="str">
        <f>IF(FN_MC!W118="","*",FN_MC!W118)</f>
        <v>Inspeção RIV - vma 45 km/h - inspeção nos pátios a 30 km/h</v>
      </c>
      <c r="U117" s="98">
        <f ca="1">_xlfn.XLOOKUP(G117&amp;$U$2,BS_CONTROLE[CHAVE],BS_CONTROLE[Quantidade_11],"-")</f>
        <v>0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FERRONORTE</v>
      </c>
      <c r="E118" s="96" t="str">
        <f>IF(FN_MC!T119="","*",FN_MC!T119)</f>
        <v>TMI-TCS</v>
      </c>
      <c r="F118" s="96">
        <f>IF(FN_MC!B119="","*",FN_MC!B119)</f>
        <v>46088</v>
      </c>
      <c r="G118" s="96" t="str">
        <f>IF(FN_MC!D119="","*",FN_MC!D119)</f>
        <v>E46</v>
      </c>
      <c r="H118" s="96" t="str">
        <f>IF(FN_MC!F119="","*",FN_MC!F119)</f>
        <v>TRILHEIRO - DESCARGA</v>
      </c>
      <c r="I118" s="96" t="str">
        <f>IF(FN_MC!H119="","*",FN_MC!H119)</f>
        <v>TINPAT2</v>
      </c>
      <c r="J118" s="96" t="str">
        <f>IF(FN_MC!I119="","*",FN_MC!I119)</f>
        <v>TINPAT2</v>
      </c>
      <c r="K118" s="96" t="str">
        <f>IF(FN_MC!M119="","*",FN_MC!M119)</f>
        <v>TIN</v>
      </c>
      <c r="L118" s="196" t="str">
        <f>IF(FN_MC!N119="","*",FN_MC!N119)</f>
        <v>TINPAT1</v>
      </c>
      <c r="M118" s="97">
        <f>IF(FN_MC!J119="","*",FN_MC!J119)</f>
        <v>74</v>
      </c>
      <c r="N118" s="183">
        <f>IF(FN_MC!K119="","*",FN_MC!K119)</f>
        <v>109</v>
      </c>
      <c r="O118" s="183" t="str">
        <f>IF(FN_MC!L119="","*",FN_MC!L119)</f>
        <v>-</v>
      </c>
      <c r="P118" s="107">
        <f>IF(FN_MC!O119="","*",FN_MC!O119)</f>
        <v>0.45833333333333331</v>
      </c>
      <c r="Q118" s="107">
        <f>IF(FN_MC!P119="","*",FN_MC!P119)</f>
        <v>8.3333333333333329E-2</v>
      </c>
      <c r="R118" s="96" t="str">
        <f>IF(FN_MC!Q119="","*",CONCATENATE(FN_MC!Q119," ",FN_MC!R119))</f>
        <v>624 M</v>
      </c>
      <c r="S118" s="96" t="str">
        <f>IF(FN_MC!V119="","*",FN_MC!V119)</f>
        <v>Herbert</v>
      </c>
      <c r="T118" s="96" t="str">
        <f>IF(FN_MC!W119="","*",FN_MC!W119)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FERRONORTE</v>
      </c>
      <c r="E121" s="96" t="str">
        <f>IF(FN_MC!T122="","*",FN_MC!T122)</f>
        <v>TMI-TCS</v>
      </c>
      <c r="F121" s="96">
        <f>IF(FN_MC!B122="","*",FN_MC!B122)</f>
        <v>46088</v>
      </c>
      <c r="G121" s="96" t="str">
        <f>IF(FN_MC!D122="","*",FN_MC!D122)</f>
        <v>BRUNO (TF-525)</v>
      </c>
      <c r="H121" s="96" t="str">
        <f>IF(FN_MC!F122="","*",FN_MC!F122)</f>
        <v>PDM - SOLDA</v>
      </c>
      <c r="I121" s="96" t="str">
        <f>IF(FN_MC!H122="","*",FN_MC!H122)</f>
        <v>K97TIN</v>
      </c>
      <c r="J121" s="96" t="str">
        <f>IF(FN_MC!I122="","*",FN_MC!I122)</f>
        <v>-</v>
      </c>
      <c r="K121" s="96" t="str">
        <f>IF(FN_MC!M122="","*",FN_MC!M122)</f>
        <v>TSP-TIN</v>
      </c>
      <c r="L121" s="196" t="str">
        <f>IF(FN_MC!N122="","*",FN_MC!N122)</f>
        <v>K97TIN</v>
      </c>
      <c r="M121" s="97">
        <f>IF(FN_MC!J122="","*",FN_MC!J122)</f>
        <v>74</v>
      </c>
      <c r="N121" s="183">
        <f>IF(FN_MC!K122="","*",FN_MC!K122)</f>
        <v>97.04</v>
      </c>
      <c r="O121" s="183" t="str">
        <f>IF(FN_MC!L122="","*",FN_MC!L122)</f>
        <v>-</v>
      </c>
      <c r="P121" s="107">
        <f>IF(FN_MC!O122="","*",FN_MC!O122)</f>
        <v>0.33333333333333331</v>
      </c>
      <c r="Q121" s="107">
        <f>IF(FN_MC!P122="","*",FN_MC!P122)</f>
        <v>8.3333333333333329E-2</v>
      </c>
      <c r="R121" s="96" t="str">
        <f>IF(FN_MC!Q122="","*",CONCATENATE(FN_MC!Q122," ",FN_MC!R122))</f>
        <v>2 Nº DE SOLDA</v>
      </c>
      <c r="S121" s="96" t="str">
        <f>IF(FN_MC!V122="","*",FN_MC!V122)</f>
        <v>*</v>
      </c>
      <c r="T121" s="96" t="str">
        <f>IF(FN_MC!W122="","*",FN_MC!W122)</f>
        <v>*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FERRONORTE</v>
      </c>
      <c r="E125" s="96" t="str">
        <f>IF(FN_MC!T126="","*",FN_MC!T126)</f>
        <v>TGR-TRO</v>
      </c>
      <c r="F125" s="96">
        <f>IF(FN_MC!B126="","*",FN_MC!B126)</f>
        <v>46089</v>
      </c>
      <c r="G125" s="96" t="str">
        <f>IF(FN_MC!D126="","*",FN_MC!D126)</f>
        <v>V86</v>
      </c>
      <c r="H125" s="96" t="str">
        <f>IF(FN_MC!F126="","*",FN_MC!F126)</f>
        <v>MECANIZAÇÃO - SOCADORA</v>
      </c>
      <c r="I125" s="96" t="str">
        <f>IF(FN_MC!H126="","*",FN_MC!H126)</f>
        <v>TIQ2</v>
      </c>
      <c r="J125" s="96" t="str">
        <f>IF(FN_MC!I126="","*",FN_MC!I126)</f>
        <v>TIQ2</v>
      </c>
      <c r="K125" s="96" t="str">
        <f>IF(FN_MC!M126="","*",FN_MC!M126)</f>
        <v>TBS-TAL</v>
      </c>
      <c r="L125" s="196" t="str">
        <f>IF(FN_MC!N126="","*",FN_MC!N126)</f>
        <v>TBS671</v>
      </c>
      <c r="M125" s="97">
        <f>IF(FN_MC!J126="","*",FN_MC!J126)</f>
        <v>98</v>
      </c>
      <c r="N125" s="183">
        <f>IF(FN_MC!K126="","*",FN_MC!K126)</f>
        <v>664</v>
      </c>
      <c r="O125" s="183">
        <f>IF(FN_MC!L126="","*",FN_MC!L126)</f>
        <v>667</v>
      </c>
      <c r="P125" s="107">
        <f>IF(FN_MC!O126="","*",FN_MC!O126)</f>
        <v>0.41666666666666669</v>
      </c>
      <c r="Q125" s="107">
        <f>IF(FN_MC!P126="","*",FN_MC!P126)</f>
        <v>8.3333333333333329E-2</v>
      </c>
      <c r="R125" s="96" t="str">
        <f>IF(FN_MC!Q126="","*",CONCATENATE(FN_MC!Q126," ",FN_MC!R126))</f>
        <v>1120 M</v>
      </c>
      <c r="S125" s="96" t="str">
        <f>IF(FN_MC!V126="","*",FN_MC!V126)</f>
        <v>*</v>
      </c>
      <c r="T125" s="96" t="str">
        <f>IF(FN_MC!W126="","*",FN_MC!W126)</f>
        <v>*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>
        <f>IF(FN_MC!B128="","*",FN_MC!B128)</f>
        <v>46089</v>
      </c>
      <c r="G127" s="96" t="str">
        <f>IF(FN_MC!D128="","*",FN_MC!D128)</f>
        <v>V48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1835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FERRONORTE</v>
      </c>
      <c r="E129" s="96" t="str">
        <f>IF(FN_MC!T130="","*",FN_MC!T130)</f>
        <v>TCS-TGR</v>
      </c>
      <c r="F129" s="96">
        <f>IF(FN_MC!B130="","*",FN_MC!B130)</f>
        <v>46089</v>
      </c>
      <c r="G129" s="96" t="str">
        <f>IF(FN_MC!D130="","*",FN_MC!D130)</f>
        <v>V80</v>
      </c>
      <c r="H129" s="96" t="str">
        <f>IF(FN_MC!F130="","*",FN_MC!F130)</f>
        <v>INSPEÇÃO RIV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TOM-TGR</v>
      </c>
      <c r="L129" s="196" t="str">
        <f>IF(FN_MC!N130="","*",FN_MC!N130)</f>
        <v>TOMTGR</v>
      </c>
      <c r="M129" s="97">
        <f>IF(FN_MC!J130="","*",FN_MC!J130)</f>
        <v>74</v>
      </c>
      <c r="N129" s="183">
        <f>IF(FN_MC!K130="","*",FN_MC!K130)</f>
        <v>404</v>
      </c>
      <c r="O129" s="183">
        <f>IF(FN_MC!L130="","*",FN_MC!L130)</f>
        <v>497</v>
      </c>
      <c r="P129" s="107">
        <f>IF(FN_MC!O130="","*",FN_MC!O130)</f>
        <v>11</v>
      </c>
      <c r="Q129" s="107" t="str">
        <f>IF(FN_MC!P130="","*",FN_MC!P130)</f>
        <v>*</v>
      </c>
      <c r="R129" s="96" t="str">
        <f>IF(FN_MC!Q130="","*",CONCATENATE(FN_MC!Q130," ",FN_MC!R130))</f>
        <v>1 BINÁRIO</v>
      </c>
      <c r="S129" s="96" t="str">
        <f>IF(FN_MC!V130="","*",FN_MC!V130)</f>
        <v>*</v>
      </c>
      <c r="T129" s="96" t="str">
        <f>IF(FN_MC!W130="","*",FN_MC!W130)</f>
        <v>*</v>
      </c>
      <c r="U129" s="98">
        <f ca="1">_xlfn.XLOOKUP(G129&amp;$U$2,BS_CONTROLE[CHAVE],BS_CONTROLE[Quantidade_11],"-")</f>
        <v>0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1462</v>
      </c>
      <c r="D5" s="242"/>
      <c r="E5" s="242"/>
      <c r="F5" s="242"/>
      <c r="G5" s="242"/>
      <c r="H5" s="242"/>
      <c r="I5" s="242"/>
      <c r="J5" s="243"/>
      <c r="K5" s="244" t="s">
        <v>1463</v>
      </c>
      <c r="L5" s="245"/>
      <c r="M5" s="245"/>
      <c r="N5" s="245"/>
      <c r="O5" s="246" t="s">
        <v>1464</v>
      </c>
      <c r="P5" s="247"/>
      <c r="Q5" s="248"/>
    </row>
    <row r="6" spans="1:17" s="81" customFormat="1" ht="15.75" customHeight="1">
      <c r="A6" s="75" t="s">
        <v>1460</v>
      </c>
      <c r="B6" s="82" t="s">
        <v>1459</v>
      </c>
      <c r="C6" s="83" t="s">
        <v>1175</v>
      </c>
      <c r="D6" s="84" t="s">
        <v>1176</v>
      </c>
      <c r="E6" s="83" t="s">
        <v>1465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1466</v>
      </c>
      <c r="M6" s="116" t="s">
        <v>29</v>
      </c>
      <c r="N6" s="117" t="s">
        <v>1170</v>
      </c>
      <c r="O6" s="165" t="s">
        <v>1213</v>
      </c>
      <c r="P6" s="128"/>
      <c r="Q6" s="139" t="s">
        <v>1467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MC1 as 07:30h - Em inspeção as 08:32h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1</v>
      </c>
      <c r="P85" s="78"/>
      <c r="Q85" s="120" t="str">
        <f>IF($A$2=1,IF(FN_MC!#REF!="","*",FN_MC!#REF!),IF(FN_MC!BK85="","*",FN_MC!BK85))</f>
        <v>MC1 as 06:30h - em deslocamento para o local de trabalho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Pronto as 09:30h - CCO verificando faixa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Sem faixa, alto fluxo de trens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2</v>
      </c>
      <c r="P91" s="78"/>
      <c r="Q91" s="120" t="str">
        <f>IF($A$2=1,IF(FN_MC!BJ91="","*",FN_MC!BJ91),IF(FN_MC!BK91="","*",FN_MC!BK91))</f>
        <v>Equipe pronta 08:31 - Em intervalo das 09:43h as 11:43h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2</v>
      </c>
      <c r="P92" s="78"/>
      <c r="Q92" s="120" t="str">
        <f>IF($A$2=1,IF(FN_MC!BJ92="","*",FN_MC!BJ92),IF(FN_MC!BK92="","*",FN_MC!BK92))</f>
        <v>Equipe pronta 08:31 - Em intervalo das 09:43h as 11:43h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2</v>
      </c>
      <c r="P94" s="78"/>
      <c r="Q94" s="120" t="str">
        <f>IF($A$2=1,IF(FN_MC!BJ94="","*",FN_MC!BJ94),IF(FN_MC!BK94="","*",FN_MC!BK94))</f>
        <v>Pronto as 07:50 - Em intervalo das 08:50h as 10:20h - 2 soldas e 17m de trilho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1</v>
      </c>
      <c r="P95" s="78"/>
      <c r="Q95" s="120" t="str">
        <f>IF($A$2=1,IF(FN_MC!BJ96="","*",FN_MC!BJ96),IF(FN_MC!BK96="","*",FN_MC!BK96))</f>
        <v>MC1 08:44 - Em intervalo das 11:16h as 15:16h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1</v>
      </c>
      <c r="P96" s="78"/>
      <c r="Q96" s="120" t="str">
        <f>IF($A$2=1,IF(FN_MC!BJ97="","*",FN_MC!BJ97),IF(FN_MC!BK97="","*",FN_MC!BK97))</f>
        <v>Previsão de MC1 as 09:18h, em deslocamento para local de trabalho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MC1 11:29h, manobrando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MC1 10:27h - previsão de licenca as 14h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1</v>
      </c>
      <c r="P101" s="78"/>
      <c r="Q101" s="120" t="str">
        <f>IF($A$2=1,IF(FN_MC!BJ102="","*",FN_MC!BJ102),IF(FN_MC!BK102="","*",FN_MC!BK102))</f>
        <v>MC1 as 08:10 - Em intervalo das 10:02h as 13:02h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>
        <f>IF(FN_MC!B107="","*",FN_MC!B107)</f>
        <v>46088</v>
      </c>
      <c r="B106" s="86" t="str">
        <f>IF(FN_MC!X107="","*",FN_MC!X107)</f>
        <v>*</v>
      </c>
      <c r="C106" s="87" t="str">
        <f>IF(FN_MC!S107="","*",FN_MC!S107)</f>
        <v>FERRONORTE</v>
      </c>
      <c r="D106" s="87" t="str">
        <f>IF(FN_MC!T107="","*",FN_MC!T107)</f>
        <v>TGR-TRO</v>
      </c>
      <c r="E106" s="87" t="str">
        <f>IF(FN_MC!D107="","*",FN_MC!D107)</f>
        <v>V86</v>
      </c>
      <c r="F106" s="87" t="str">
        <f>IF(FN_MC!H107="","*",FN_MC!H107)</f>
        <v>TIQ2</v>
      </c>
      <c r="G106" s="87" t="str">
        <f>IF(FN_MC!M107="","*",FN_MC!M107)</f>
        <v>TBS-TAL</v>
      </c>
      <c r="H106" s="125">
        <f>IF(FN_MC!K107="","*",FN_MC!K107)</f>
        <v>664</v>
      </c>
      <c r="I106" s="110">
        <f>IF(FN_MC!O107="","*",FN_MC!O107)</f>
        <v>0.27777777777777779</v>
      </c>
      <c r="J106" s="110">
        <f>IF(FN_MC!P107="","*",FN_MC!P107)</f>
        <v>0.125</v>
      </c>
      <c r="K106" s="118" t="str">
        <f>IF(FN_MC!AK107="","*",FN_MC!AK107)</f>
        <v>TIQ2</v>
      </c>
      <c r="L106" s="118" t="str">
        <f>IF(FN_MC!AM107="","*",FN_MC!AM107)</f>
        <v>TBS-TAL</v>
      </c>
      <c r="M106" s="118">
        <f>IF(FN_MC!AP107="","*",FN_MC!AP107)</f>
        <v>664</v>
      </c>
      <c r="N106" s="118" t="str">
        <f>IF(FN_MC!AM107="","*",FN_MC!AM107)</f>
        <v>TBS-TAL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>
        <f>IF(FN_MC!B109="","*",FN_MC!B109)</f>
        <v>46088</v>
      </c>
      <c r="B108" s="86" t="str">
        <f>IF(FN_MC!X109="","*",FN_MC!X109)</f>
        <v>*</v>
      </c>
      <c r="C108" s="87" t="str">
        <f>IF(FN_MC!S109="","*",FN_MC!S109)</f>
        <v>FERRONORTE</v>
      </c>
      <c r="D108" s="87" t="str">
        <f>IF(FN_MC!T109="","*",FN_MC!T109)</f>
        <v>TGR-TRO</v>
      </c>
      <c r="E108" s="87" t="str">
        <f>IF(FN_MC!D109="","*",FN_MC!D109)</f>
        <v>V77</v>
      </c>
      <c r="F108" s="87" t="str">
        <f>IF(FN_MC!H109="","*",FN_MC!H109)</f>
        <v>TIQ</v>
      </c>
      <c r="G108" s="87" t="str">
        <f>IF(FN_MC!M109="","*",FN_MC!M109)</f>
        <v>TIQ</v>
      </c>
      <c r="H108" s="125">
        <f>IF(FN_MC!K109="","*",FN_MC!K109)</f>
        <v>616</v>
      </c>
      <c r="I108" s="110">
        <f>IF(FN_MC!O109="","*",FN_MC!O109)</f>
        <v>0.29166666666666669</v>
      </c>
      <c r="J108" s="110" t="str">
        <f>IF(FN_MC!P109="","*",FN_MC!P109)</f>
        <v>*</v>
      </c>
      <c r="K108" s="118" t="str">
        <f>IF(FN_MC!AK109="","*",FN_MC!AK109)</f>
        <v>TIQ</v>
      </c>
      <c r="L108" s="118" t="str">
        <f>IF(FN_MC!AM109="","*",FN_MC!AM109)</f>
        <v>TIQ</v>
      </c>
      <c r="M108" s="118">
        <f>IF(FN_MC!AP109="","*",FN_MC!AP109)</f>
        <v>616</v>
      </c>
      <c r="N108" s="118" t="str">
        <f>IF(FN_MC!AM109="","*",FN_MC!AM109)</f>
        <v>TIQ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>
        <f>IF(FN_MC!B112="","*",FN_MC!B112)</f>
        <v>46088</v>
      </c>
      <c r="B111" s="86" t="str">
        <f>IF(FN_MC!X112="","*",FN_MC!X112)</f>
        <v>Oportunidade</v>
      </c>
      <c r="C111" s="87" t="str">
        <f>IF(FN_MC!S112="","*",FN_MC!S112)</f>
        <v>FERRONORTE</v>
      </c>
      <c r="D111" s="87" t="str">
        <f>IF(FN_MC!T112="","*",FN_MC!T112)</f>
        <v>TCS-TGR</v>
      </c>
      <c r="E111" s="87" t="str">
        <f>IF(FN_MC!D112="","*",FN_MC!D112)</f>
        <v>ELSON (TF-526)</v>
      </c>
      <c r="F111" s="87" t="str">
        <f>IF(FN_MC!H112="","*",FN_MC!H112)</f>
        <v>TOM2</v>
      </c>
      <c r="G111" s="87" t="str">
        <f>IF(FN_MC!M112="","*",FN_MC!M112)</f>
        <v>TOM</v>
      </c>
      <c r="H111" s="125">
        <f>IF(FN_MC!K112="","*",FN_MC!K112)</f>
        <v>403.505</v>
      </c>
      <c r="I111" s="110">
        <f>IF(FN_MC!O112="","*",FN_MC!O112)</f>
        <v>0.375</v>
      </c>
      <c r="J111" s="110">
        <f>IF(FN_MC!P112="","*",FN_MC!P112)</f>
        <v>6.25E-2</v>
      </c>
      <c r="K111" s="118" t="str">
        <f>IF(FN_MC!AK112="","*",FN_MC!AK112)</f>
        <v>TOM2</v>
      </c>
      <c r="L111" s="118" t="str">
        <f>IF(FN_MC!AM112="","*",FN_MC!AM112)</f>
        <v>TOM</v>
      </c>
      <c r="M111" s="118">
        <f>IF(FN_MC!AP112="","*",FN_MC!AP112)</f>
        <v>403.505</v>
      </c>
      <c r="N111" s="118" t="str">
        <f>IF(FN_MC!AM112="","*",FN_MC!AM112)</f>
        <v>TOM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>
        <f>IF(FN_MC!B115="","*",FN_MC!B115)</f>
        <v>46088</v>
      </c>
      <c r="B114" s="86" t="str">
        <f>IF(FN_MC!X115="","*",FN_MC!X115)</f>
        <v>*</v>
      </c>
      <c r="C114" s="87" t="str">
        <f>IF(FN_MC!S115="","*",FN_MC!S115)</f>
        <v>FERRONORTE</v>
      </c>
      <c r="D114" s="87" t="str">
        <f>IF(FN_MC!T115="","*",FN_MC!T115)</f>
        <v>TMI-TCS</v>
      </c>
      <c r="E114" s="87" t="str">
        <f>IF(FN_MC!D115="","*",FN_MC!D115)</f>
        <v>V48</v>
      </c>
      <c r="F114" s="87" t="str">
        <f>IF(FN_MC!H115="","*",FN_MC!H115)</f>
        <v>TVI2</v>
      </c>
      <c r="G114" s="87" t="str">
        <f>IF(FN_MC!M115="","*",FN_MC!M115)</f>
        <v>ZRW-TRP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TVI2</v>
      </c>
      <c r="L114" s="118" t="str">
        <f>IF(FN_MC!AM115="","*",FN_MC!AM115)</f>
        <v>ZRW-TRP</v>
      </c>
      <c r="M114" s="118" t="str">
        <f>IF(FN_MC!AP115="","*",FN_MC!AP115)</f>
        <v>-</v>
      </c>
      <c r="N114" s="118" t="str">
        <f>IF(FN_MC!AM115="","*",FN_MC!AM115)</f>
        <v>ZRW-TRP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>
        <f>IF(FN_MC!B117="","*",FN_MC!B117)</f>
        <v>46088</v>
      </c>
      <c r="B116" s="86" t="str">
        <f>IF(FN_MC!X117="","*",FN_MC!X117)</f>
        <v>*</v>
      </c>
      <c r="C116" s="87" t="str">
        <f>IF(FN_MC!S117="","*",FN_MC!S117)</f>
        <v>FERRONORTE</v>
      </c>
      <c r="D116" s="87" t="str">
        <f>IF(FN_MC!T117="","*",FN_MC!T117)</f>
        <v>TMI-TCS</v>
      </c>
      <c r="E116" s="87" t="str">
        <f>IF(FN_MC!D117="","*",FN_MC!D117)</f>
        <v>V66</v>
      </c>
      <c r="F116" s="87" t="str">
        <f>IF(FN_MC!H117="","*",FN_MC!H117)</f>
        <v>TID</v>
      </c>
      <c r="G116" s="87" t="str">
        <f>IF(FN_MC!M117="","*",FN_MC!M117)</f>
        <v>TMO-TCE</v>
      </c>
      <c r="H116" s="125">
        <f>IF(FN_MC!K117="","*",FN_MC!K117)</f>
        <v>164.1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TID</v>
      </c>
      <c r="L116" s="118" t="str">
        <f>IF(FN_MC!AM117="","*",FN_MC!AM117)</f>
        <v>TMO-TCE</v>
      </c>
      <c r="M116" s="118">
        <f>IF(FN_MC!AP117="","*",FN_MC!AP117)</f>
        <v>164.1</v>
      </c>
      <c r="N116" s="118" t="str">
        <f>IF(FN_MC!AM117="","*",FN_MC!AM117)</f>
        <v>TMO-TCE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>
        <f>IF(FN_MC!B118="","*",FN_MC!B118)</f>
        <v>46088</v>
      </c>
      <c r="B117" s="86" t="str">
        <f>IF(FN_MC!X118="","*",FN_MC!X118)</f>
        <v>*</v>
      </c>
      <c r="C117" s="87" t="str">
        <f>IF(FN_MC!S118="","*",FN_MC!S118)</f>
        <v>FERRONORTE</v>
      </c>
      <c r="D117" s="87" t="str">
        <f>IF(FN_MC!T118="","*",FN_MC!T118)</f>
        <v>TMI-TCS</v>
      </c>
      <c r="E117" s="87" t="str">
        <f>IF(FN_MC!D118="","*",FN_MC!D118)</f>
        <v>V80</v>
      </c>
      <c r="F117" s="87" t="str">
        <f>IF(FN_MC!H118="","*",FN_MC!H118)</f>
        <v>K97TIN</v>
      </c>
      <c r="G117" s="87" t="str">
        <f>IF(FN_MC!M118="","*",FN_MC!M118)</f>
        <v>TIN-TCS</v>
      </c>
      <c r="H117" s="125">
        <f>IF(FN_MC!K118="","*",FN_MC!K118)</f>
        <v>107.7</v>
      </c>
      <c r="I117" s="110">
        <f>IF(FN_MC!O118="","*",FN_MC!O118)</f>
        <v>0.45833333333333331</v>
      </c>
      <c r="J117" s="110">
        <f>IF(FN_MC!P118="","*",FN_MC!P118)</f>
        <v>4.1666666666666664E-2</v>
      </c>
      <c r="K117" s="118" t="str">
        <f>IF(FN_MC!AK118="","*",FN_MC!AK118)</f>
        <v>K97TIN</v>
      </c>
      <c r="L117" s="118" t="str">
        <f>IF(FN_MC!AM118="","*",FN_MC!AM118)</f>
        <v>TIN-TCS</v>
      </c>
      <c r="M117" s="118">
        <f>IF(FN_MC!AP118="","*",FN_MC!AP118)</f>
        <v>107.7</v>
      </c>
      <c r="N117" s="118" t="str">
        <f>IF(FN_MC!AM118="","*",FN_MC!AM118)</f>
        <v>TIN-TCS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>
        <f>IF(FN_MC!B119="","*",FN_MC!B119)</f>
        <v>46088</v>
      </c>
      <c r="B118" s="86" t="str">
        <f>IF(FN_MC!X119="","*",FN_MC!X119)</f>
        <v>*</v>
      </c>
      <c r="C118" s="87" t="str">
        <f>IF(FN_MC!S119="","*",FN_MC!S119)</f>
        <v>FERRONORTE</v>
      </c>
      <c r="D118" s="87" t="str">
        <f>IF(FN_MC!T119="","*",FN_MC!T119)</f>
        <v>TMI-TCS</v>
      </c>
      <c r="E118" s="87" t="str">
        <f>IF(FN_MC!D119="","*",FN_MC!D119)</f>
        <v>E46</v>
      </c>
      <c r="F118" s="87" t="str">
        <f>IF(FN_MC!H119="","*",FN_MC!H119)</f>
        <v>TINPAT2</v>
      </c>
      <c r="G118" s="87" t="str">
        <f>IF(FN_MC!M119="","*",FN_MC!M119)</f>
        <v>TIN</v>
      </c>
      <c r="H118" s="125">
        <f>IF(FN_MC!K119="","*",FN_MC!K119)</f>
        <v>109</v>
      </c>
      <c r="I118" s="110">
        <f>IF(FN_MC!O119="","*",FN_MC!O119)</f>
        <v>0.45833333333333331</v>
      </c>
      <c r="J118" s="110">
        <f>IF(FN_MC!P119="","*",FN_MC!P119)</f>
        <v>8.3333333333333329E-2</v>
      </c>
      <c r="K118" s="118" t="str">
        <f>IF(FN_MC!AK119="","*",FN_MC!AK119)</f>
        <v>TINPAT2</v>
      </c>
      <c r="L118" s="118" t="str">
        <f>IF(FN_MC!AM119="","*",FN_MC!AM119)</f>
        <v>TIN</v>
      </c>
      <c r="M118" s="118">
        <f>IF(FN_MC!AP119="","*",FN_MC!AP119)</f>
        <v>109</v>
      </c>
      <c r="N118" s="118" t="str">
        <f>IF(FN_MC!AM119="","*",FN_MC!AM119)</f>
        <v>TIN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>
        <f>IF(FN_MC!B122="","*",FN_MC!B122)</f>
        <v>46088</v>
      </c>
      <c r="B121" s="86" t="str">
        <f>IF(FN_MC!X122="","*",FN_MC!X122)</f>
        <v>*</v>
      </c>
      <c r="C121" s="87" t="str">
        <f>IF(FN_MC!S122="","*",FN_MC!S122)</f>
        <v>FERRONORTE</v>
      </c>
      <c r="D121" s="87" t="str">
        <f>IF(FN_MC!T122="","*",FN_MC!T122)</f>
        <v>TMI-TCS</v>
      </c>
      <c r="E121" s="87" t="str">
        <f>IF(FN_MC!D122="","*",FN_MC!D122)</f>
        <v>BRUNO (TF-525)</v>
      </c>
      <c r="F121" s="87" t="str">
        <f>IF(FN_MC!H122="","*",FN_MC!H122)</f>
        <v>K97TIN</v>
      </c>
      <c r="G121" s="87" t="str">
        <f>IF(FN_MC!M122="","*",FN_MC!M122)</f>
        <v>TSP-TIN</v>
      </c>
      <c r="H121" s="125">
        <f>IF(FN_MC!K122="","*",FN_MC!K122)</f>
        <v>97.04</v>
      </c>
      <c r="I121" s="110">
        <f>IF(FN_MC!O122="","*",FN_MC!O122)</f>
        <v>0.33333333333333331</v>
      </c>
      <c r="J121" s="110">
        <f>IF(FN_MC!P122="","*",FN_MC!P122)</f>
        <v>8.3333333333333329E-2</v>
      </c>
      <c r="K121" s="118" t="str">
        <f>IF(FN_MC!AK122="","*",FN_MC!AK122)</f>
        <v>K97TIN</v>
      </c>
      <c r="L121" s="118" t="str">
        <f>IF(FN_MC!AM122="","*",FN_MC!AM122)</f>
        <v>TSP-TIN</v>
      </c>
      <c r="M121" s="118">
        <f>IF(FN_MC!AP122="","*",FN_MC!AP122)</f>
        <v>97.04</v>
      </c>
      <c r="N121" s="118" t="str">
        <f>IF(FN_MC!AM122="","*",FN_MC!AM122)</f>
        <v>TSP-TIN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>
        <f>IF(FN_MC!B126="","*",FN_MC!B126)</f>
        <v>46089</v>
      </c>
      <c r="B125" s="86" t="str">
        <f>IF(FN_MC!X126="","*",FN_MC!X126)</f>
        <v>*</v>
      </c>
      <c r="C125" s="87" t="str">
        <f>IF(FN_MC!S126="","*",FN_MC!S126)</f>
        <v>FERRONORTE</v>
      </c>
      <c r="D125" s="87" t="str">
        <f>IF(FN_MC!T126="","*",FN_MC!T126)</f>
        <v>TGR-TRO</v>
      </c>
      <c r="E125" s="87" t="str">
        <f>IF(FN_MC!D126="","*",FN_MC!D126)</f>
        <v>V86</v>
      </c>
      <c r="F125" s="87" t="str">
        <f>IF(FN_MC!H126="","*",FN_MC!H126)</f>
        <v>TIQ2</v>
      </c>
      <c r="G125" s="87" t="str">
        <f>IF(FN_MC!M126="","*",FN_MC!M126)</f>
        <v>TBS-TAL</v>
      </c>
      <c r="H125" s="125">
        <f>IF(FN_MC!K126="","*",FN_MC!K126)</f>
        <v>664</v>
      </c>
      <c r="I125" s="110">
        <f>IF(FN_MC!O126="","*",FN_MC!O126)</f>
        <v>0.41666666666666669</v>
      </c>
      <c r="J125" s="110">
        <f>IF(FN_MC!P126="","*",FN_MC!P126)</f>
        <v>8.3333333333333329E-2</v>
      </c>
      <c r="K125" s="118" t="str">
        <f>IF(FN_MC!AK126="","*",FN_MC!AK126)</f>
        <v>TIQ2</v>
      </c>
      <c r="L125" s="118" t="str">
        <f>IF(FN_MC!AM126="","*",FN_MC!AM126)</f>
        <v>TBS-TAL</v>
      </c>
      <c r="M125" s="118">
        <f>IF(FN_MC!AP126="","*",FN_MC!AP126)</f>
        <v>664</v>
      </c>
      <c r="N125" s="118" t="str">
        <f>IF(FN_MC!AM126="","*",FN_MC!AM126)</f>
        <v>TBS-TAL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>
        <f>IF(FN_MC!B128="","*",FN_MC!B128)</f>
        <v>46089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V48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>
        <f>IF(FN_MC!B130="","*",FN_MC!B130)</f>
        <v>46089</v>
      </c>
      <c r="B129" s="86" t="str">
        <f>IF(FN_MC!X130="","*",FN_MC!X130)</f>
        <v>*</v>
      </c>
      <c r="C129" s="87" t="str">
        <f>IF(FN_MC!S130="","*",FN_MC!S130)</f>
        <v>FERRONORTE</v>
      </c>
      <c r="D129" s="87" t="str">
        <f>IF(FN_MC!T130="","*",FN_MC!T130)</f>
        <v>TCS-TGR</v>
      </c>
      <c r="E129" s="87" t="str">
        <f>IF(FN_MC!D130="","*",FN_MC!D130)</f>
        <v>V80</v>
      </c>
      <c r="F129" s="87" t="str">
        <f>IF(FN_MC!H130="","*",FN_MC!H130)</f>
        <v>*</v>
      </c>
      <c r="G129" s="87" t="str">
        <f>IF(FN_MC!M130="","*",FN_MC!M130)</f>
        <v>TOM-TGR</v>
      </c>
      <c r="H129" s="125">
        <f>IF(FN_MC!K130="","*",FN_MC!K130)</f>
        <v>404</v>
      </c>
      <c r="I129" s="110">
        <f>IF(FN_MC!O130="","*",FN_MC!O130)</f>
        <v>11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TOM-TGR</v>
      </c>
      <c r="M129" s="118">
        <f>IF(FN_MC!AP130="","*",FN_MC!AP130)</f>
        <v>404</v>
      </c>
      <c r="N129" s="118" t="str">
        <f>IF(FN_MC!AM130="","*",FN_MC!AM130)</f>
        <v>TOM-TGR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1468</v>
      </c>
      <c r="C2" s="83" t="s">
        <v>1160</v>
      </c>
      <c r="D2" s="83" t="s">
        <v>1162</v>
      </c>
      <c r="E2" s="83" t="s">
        <v>1469</v>
      </c>
      <c r="F2" s="83" t="s">
        <v>1470</v>
      </c>
      <c r="G2" s="83" t="s">
        <v>1471</v>
      </c>
      <c r="H2" s="83" t="s">
        <v>1472</v>
      </c>
      <c r="I2" s="83" t="s">
        <v>1473</v>
      </c>
      <c r="J2" s="83" t="s">
        <v>1474</v>
      </c>
      <c r="K2" s="109" t="s">
        <v>1475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>
        <f>IF(FN_MC!B107="","*",FN_MC!B107)</f>
        <v>46088</v>
      </c>
      <c r="D102" s="101" t="str">
        <f>IF(FN_MC!D107="","*",FN_MC!D107)</f>
        <v>V86</v>
      </c>
      <c r="E102" s="101" t="str">
        <f>IF(FN_MC!H107="","*",FN_MC!H107)</f>
        <v>TIQ2</v>
      </c>
      <c r="F102" s="114" t="str">
        <f>IF(FN_MC!M107="","*",FN_MC!M107)</f>
        <v>TBS-TAL</v>
      </c>
      <c r="G102" s="101" t="str">
        <f>IF(FN_MC!I107="","*",FN_MC!I107)</f>
        <v>TIQ2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>
        <f>IF(FN_MC!B109="","*",FN_MC!B109)</f>
        <v>46088</v>
      </c>
      <c r="D104" s="101" t="str">
        <f>IF(FN_MC!D109="","*",FN_MC!D109)</f>
        <v>V77</v>
      </c>
      <c r="E104" s="101" t="str">
        <f>IF(FN_MC!H109="","*",FN_MC!H109)</f>
        <v>TIQ</v>
      </c>
      <c r="F104" s="114" t="str">
        <f>IF(FN_MC!M109="","*",FN_MC!M109)</f>
        <v>TIQ</v>
      </c>
      <c r="G104" s="101" t="str">
        <f>IF(FN_MC!I109="","*",FN_MC!I109)</f>
        <v>TGR2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>
        <f>IF(FN_MC!B112="","*",FN_MC!B112)</f>
        <v>46088</v>
      </c>
      <c r="D107" s="101" t="str">
        <f>IF(FN_MC!D112="","*",FN_MC!D112)</f>
        <v>ELSON (TF-526)</v>
      </c>
      <c r="E107" s="101" t="str">
        <f>IF(FN_MC!H112="","*",FN_MC!H112)</f>
        <v>TOM2</v>
      </c>
      <c r="F107" s="114" t="str">
        <f>IF(FN_MC!M112="","*",FN_MC!M112)</f>
        <v>TOM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>
        <f>IF(FN_MC!B115="","*",FN_MC!B115)</f>
        <v>46088</v>
      </c>
      <c r="D110" s="101" t="str">
        <f>IF(FN_MC!D115="","*",FN_MC!D115)</f>
        <v>V48</v>
      </c>
      <c r="E110" s="101" t="str">
        <f>IF(FN_MC!H115="","*",FN_MC!H115)</f>
        <v>TVI2</v>
      </c>
      <c r="F110" s="114" t="str">
        <f>IF(FN_MC!M115="","*",FN_MC!M115)</f>
        <v>ZRW-TRP</v>
      </c>
      <c r="G110" s="101" t="str">
        <f>IF(FN_MC!I115="","*",FN_MC!I115)</f>
        <v>TVI2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>
        <f>IF(FN_MC!B117="","*",FN_MC!B117)</f>
        <v>46088</v>
      </c>
      <c r="D112" s="101" t="str">
        <f>IF(FN_MC!D117="","*",FN_MC!D117)</f>
        <v>V66</v>
      </c>
      <c r="E112" s="101" t="str">
        <f>IF(FN_MC!H117="","*",FN_MC!H117)</f>
        <v>TID</v>
      </c>
      <c r="F112" s="114" t="str">
        <f>IF(FN_MC!M117="","*",FN_MC!M117)</f>
        <v>TMO-TCE</v>
      </c>
      <c r="G112" s="101" t="str">
        <f>IF(FN_MC!I117="","*",FN_MC!I117)</f>
        <v>TID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>
        <f>IF(FN_MC!B118="","*",FN_MC!B118)</f>
        <v>46088</v>
      </c>
      <c r="D113" s="101" t="str">
        <f>IF(FN_MC!D118="","*",FN_MC!D118)</f>
        <v>V80</v>
      </c>
      <c r="E113" s="101" t="str">
        <f>IF(FN_MC!H118="","*",FN_MC!H118)</f>
        <v>K97TIN</v>
      </c>
      <c r="F113" s="114" t="str">
        <f>IF(FN_MC!M118="","*",FN_MC!M118)</f>
        <v>TIN-TCS</v>
      </c>
      <c r="G113" s="101" t="str">
        <f>IF(FN_MC!I118="","*",FN_MC!I118)</f>
        <v>TCS2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>
        <f>IF(FN_MC!B119="","*",FN_MC!B119)</f>
        <v>46088</v>
      </c>
      <c r="D114" s="101" t="str">
        <f>IF(FN_MC!D119="","*",FN_MC!D119)</f>
        <v>E46</v>
      </c>
      <c r="E114" s="101" t="str">
        <f>IF(FN_MC!H119="","*",FN_MC!H119)</f>
        <v>TINPAT2</v>
      </c>
      <c r="F114" s="114" t="str">
        <f>IF(FN_MC!M119="","*",FN_MC!M119)</f>
        <v>TIN</v>
      </c>
      <c r="G114" s="101" t="str">
        <f>IF(FN_MC!I119="","*",FN_MC!I119)</f>
        <v>TINPAT2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>
        <f>IF(FN_MC!B122="","*",FN_MC!B122)</f>
        <v>46088</v>
      </c>
      <c r="D117" s="101" t="str">
        <f>IF(FN_MC!D122="","*",FN_MC!D122)</f>
        <v>BRUNO (TF-525)</v>
      </c>
      <c r="E117" s="101" t="str">
        <f>IF(FN_MC!H122="","*",FN_MC!H122)</f>
        <v>K97TIN</v>
      </c>
      <c r="F117" s="114" t="str">
        <f>IF(FN_MC!M122="","*",FN_MC!M122)</f>
        <v>TSP-TIN</v>
      </c>
      <c r="G117" s="101" t="str">
        <f>IF(FN_MC!I122="","*",FN_MC!I122)</f>
        <v>-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>
        <f>IF(FN_MC!B126="","*",FN_MC!B126)</f>
        <v>46089</v>
      </c>
      <c r="D121" s="101" t="str">
        <f>IF(FN_MC!D126="","*",FN_MC!D126)</f>
        <v>V86</v>
      </c>
      <c r="E121" s="101" t="str">
        <f>IF(FN_MC!H126="","*",FN_MC!H126)</f>
        <v>TIQ2</v>
      </c>
      <c r="F121" s="114" t="str">
        <f>IF(FN_MC!M126="","*",FN_MC!M126)</f>
        <v>TBS-TAL</v>
      </c>
      <c r="G121" s="101" t="str">
        <f>IF(FN_MC!I126="","*",FN_MC!I126)</f>
        <v>TIQ2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>
        <f>IF(FN_MC!B128="","*",FN_MC!B128)</f>
        <v>46089</v>
      </c>
      <c r="D123" s="101" t="str">
        <f>IF(FN_MC!D128="","*",FN_MC!D128)</f>
        <v>V48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>
        <f>IF(FN_MC!B130="","*",FN_MC!B130)</f>
        <v>46089</v>
      </c>
      <c r="D125" s="101" t="str">
        <f>IF(FN_MC!D130="","*",FN_MC!D130)</f>
        <v>V80</v>
      </c>
      <c r="E125" s="101" t="str">
        <f>IF(FN_MC!H130="","*",FN_MC!H130)</f>
        <v>*</v>
      </c>
      <c r="F125" s="114" t="str">
        <f>IF(FN_MC!M130="","*",FN_MC!M130)</f>
        <v>TOM-TGR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2026-03-06T17:03:40Z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