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837" documentId="8_{B6337239-1A00-434D-AAD0-422EA1FEB5AE}" xr6:coauthVersionLast="47" xr6:coauthVersionMax="47" xr10:uidLastSave="{0E86E982-3C00-4D58-A0C7-268DC423DC45}"/>
  <bookViews>
    <workbookView xWindow="-120" yWindow="-120" windowWidth="20730" windowHeight="11040" firstSheet="5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8" i="1" l="1" a="1"/>
  <c r="N248" i="1" s="1"/>
  <c r="M248" i="1" a="1"/>
  <c r="M248" i="1" s="1"/>
  <c r="A225" i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R231" i="16" s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K253" i="16"/>
  <c r="L253" i="16"/>
  <c r="R248" i="1"/>
  <c r="R253" i="16" s="1"/>
  <c r="S248" i="1" a="1"/>
  <c r="S248" i="1" s="1"/>
  <c r="D253" i="16" s="1"/>
  <c r="T248" i="1" a="1"/>
  <c r="T248" i="1" s="1"/>
  <c r="E253" i="16" s="1"/>
  <c r="AI248" i="1"/>
  <c r="BB248" i="1" s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R261" i="16" s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K262" i="16"/>
  <c r="L262" i="16"/>
  <c r="R257" i="1"/>
  <c r="R262" i="16" s="1"/>
  <c r="S257" i="1" a="1"/>
  <c r="S257" i="1" s="1"/>
  <c r="D262" i="16" s="1"/>
  <c r="T257" i="1" a="1"/>
  <c r="T257" i="1" s="1"/>
  <c r="E262" i="16" s="1"/>
  <c r="AI257" i="1"/>
  <c r="BB257" i="1" s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R266" i="16" s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R269" i="16" s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K270" i="16"/>
  <c r="L270" i="16"/>
  <c r="R265" i="1"/>
  <c r="S265" i="1" a="1"/>
  <c r="S265" i="1" s="1"/>
  <c r="D270" i="16" s="1"/>
  <c r="T265" i="1" a="1"/>
  <c r="T265" i="1" s="1"/>
  <c r="E270" i="16" s="1"/>
  <c r="AI265" i="1"/>
  <c r="BB265" i="1" s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K271" i="16"/>
  <c r="L271" i="16"/>
  <c r="R266" i="1"/>
  <c r="R271" i="16" s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R272" i="16" s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R273" i="16" s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R275" i="16" s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R276" i="16" s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R277" i="16" s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R281" i="16" s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R283" i="16" s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K284" i="16"/>
  <c r="L284" i="16"/>
  <c r="R279" i="1"/>
  <c r="S279" i="1" a="1"/>
  <c r="S279" i="1" s="1"/>
  <c r="D284" i="16" s="1"/>
  <c r="T279" i="1" a="1"/>
  <c r="T279" i="1" s="1"/>
  <c r="E284" i="16" s="1"/>
  <c r="AI279" i="1"/>
  <c r="BB279" i="1" s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65" i="1" l="1"/>
  <c r="AJ279" i="1"/>
  <c r="AJ257" i="1"/>
  <c r="AJ248" i="1"/>
  <c r="AJ267" i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<sst xmlns="http://schemas.openxmlformats.org/spreadsheetml/2006/main" count="7174" uniqueCount="1825">
  <si>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</si>
  <si>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</si>
  <si>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</si>
  <si>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</si>
  <si>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</si>
  <si>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</si>
  <si>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</si>
  <si>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</si>
  <si>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</si>
  <si>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</si>
  <si>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</si>
  <si>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</si>
  <si>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</si>
  <si>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</si>
  <si>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</si>
  <si>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</si>
  <si>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</si>
  <si>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</si>
  <si>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</si>
  <si>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</si>
  <si>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</si>
  <si>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</si>
  <si>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</si>
  <si>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</si>
  <si>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</si>
  <si>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</si>
  <si>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</si>
  <si>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</si>
  <si>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</si>
  <si>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</si>
  <si>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</si>
  <si>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</si>
  <si>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</si>
  <si>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</si>
  <si>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</si>
  <si>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</si>
  <si>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</si>
  <si>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</si>
  <si>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</si>
  <si>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</si>
  <si>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</si>
  <si>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</si>
  <si>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</si>
  <si>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</si>
  <si>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</si>
  <si>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</si>
  <si>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</si>
  <si>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</si>
  <si>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</si>
  <si>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</si>
  <si>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</si>
  <si>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</si>
  <si>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</si>
  <si>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</si>
  <si>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</si>
  <si>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</si>
  <si>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</si>
  <si>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</si>
  <si>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</si>
  <si>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</si>
  <si>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</si>
  <si>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</si>
  <si>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</si>
  <si>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</si>
  <si>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</si>
  <si>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</si>
  <si>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</si>
  <si>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</si>
  <si>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</si>
  <si>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</si>
  <si>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</si>
  <si>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</si>
  <si>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</si>
  <si>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</si>
  <si>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</si>
  <si>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</si>
  <si>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</si>
  <si>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</si>
  <si>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</si>
  <si>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</si>
  <si>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</si>
  <si>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</si>
  <si>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</si>
  <si>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</si>
  <si>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</si>
  <si>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</si>
  <si>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</si>
  <si>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</si>
  <si>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</si>
  <si>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</si>
  <si>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</si>
  <si>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</si>
  <si>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</si>
  <si>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</si>
  <si>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</si>
  <si>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</si>
  <si>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</si>
  <si>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</si>
  <si>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</si>
  <si>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</si>
  <si>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</si>
  <si>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</si>
  <si>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</si>
  <si>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</si>
  <si>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</si>
  <si>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</si>
  <si>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</si>
  <si>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</si>
  <si>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</si>
  <si>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</si>
  <si>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</si>
  <si>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</si>
  <si>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</si>
  <si>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</si>
  <si>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</si>
  <si>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</si>
  <si>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</si>
  <si>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</si>
  <si>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</si>
  <si>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</si>
  <si>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</si>
  <si>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</si>
  <si>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</si>
  <si>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</si>
  <si>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</si>
  <si>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</si>
  <si>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</si>
  <si>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</si>
  <si>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</si>
  <si>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</si>
  <si>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</si>
  <si>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</si>
  <si>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</si>
  <si>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</si>
  <si>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</si>
  <si>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</si>
  <si>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</si>
  <si>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</si>
  <si>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</si>
  <si>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</si>
  <si>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</si>
  <si>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</si>
  <si>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</si>
  <si>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</si>
  <si>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</si>
  <si>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</si>
  <si>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</si>
  <si>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</si>
  <si>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</si>
  <si>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</si>
  <si>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</si>
  <si>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</si>
  <si>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</si>
  <si>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</si>
  <si>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</si>
  <si>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</si>
  <si>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</si>
  <si>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</si>
  <si>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</si>
  <si>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</si>
  <si>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</si>
  <si>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</si>
  <si>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</si>
  <si>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</si>
  <si>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</si>
  <si>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</si>
  <si>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</si>
  <si>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</si>
  <si>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</si>
  <si>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</si>
  <si>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</si>
  <si>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</si>
  <si>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</si>
  <si>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</si>
  <si>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</si>
  <si>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</si>
  <si>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</si>
  <si>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</si>
  <si>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</si>
  <si>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</si>
  <si>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</si>
  <si>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</si>
  <si>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</si>
  <si>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</si>
  <si>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</si>
  <si>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</si>
  <si>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</si>
  <si>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</si>
  <si>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</si>
  <si>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</si>
  <si>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</si>
  <si>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</si>
  <si>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</si>
  <si>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</si>
  <si>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</si>
  <si>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</si>
  <si>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</si>
  <si>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</si>
  <si>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</si>
  <si>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</si>
  <si>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</si>
  <si>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</si>
  <si>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</si>
  <si>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</si>
  <si>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</si>
  <si>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</si>
  <si>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</si>
  <si>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</si>
  <si>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</si>
  <si>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</si>
  <si>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</si>
  <si>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</si>
  <si>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</si>
  <si>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</si>
  <si>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</si>
  <si>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</si>
  <si>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</si>
  <si>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</si>
  <si>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</si>
  <si>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</si>
  <si>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</si>
  <si>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</si>
  <si>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</si>
  <si>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</si>
  <si>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</si>
  <si>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</si>
  <si>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</si>
  <si>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</si>
  <si>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</si>
  <si>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</si>
  <si>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</si>
  <si>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</si>
  <si>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</si>
  <si>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</si>
  <si>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</si>
  <si>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</si>
  <si>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</si>
  <si>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</si>
  <si>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</si>
  <si>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</si>
  <si>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</si>
  <si>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</si>
  <si>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</si>
  <si>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</si>
  <si>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</si>
  <si>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</si>
  <si>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</si>
  <si>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</si>
  <si>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</si>
  <si>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</si>
  <si>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</si>
  <si>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</si>
  <si>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</si>
  <si>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</si>
  <si>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</si>
  <si>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</si>
  <si>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</si>
  <si>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</si>
  <si>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</si>
  <si>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</si>
  <si>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</si>
  <si>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</si>
  <si>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</si>
  <si>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</si>
  <si>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</si>
  <si>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</si>
  <si>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</si>
  <si>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</si>
  <si>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</si>
  <si>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</si>
  <si>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</si>
  <si>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</si>
  <si>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</si>
  <si>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</si>
  <si>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</si>
  <si>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</si>
  <si>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</si>
  <si>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</si>
  <si>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</si>
  <si>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</si>
  <si>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</si>
  <si>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</si>
  <si>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</si>
  <si>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</si>
  <si>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</si>
  <si>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</si>
  <si>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</si>
  <si>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</si>
  <si>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</si>
  <si>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</si>
  <si>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</si>
  <si>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</si>
  <si>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</si>
  <si>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</si>
  <si>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</si>
  <si>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</si>
  <si>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</si>
  <si>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</si>
  <si>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</si>
  <si>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</si>
  <si>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</si>
  <si>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</si>
  <si>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</si>
  <si>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</si>
  <si>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</si>
  <si>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</si>
  <si>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</si>
  <si>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</si>
  <si>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</si>
  <si>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</si>
  <si>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</si>
  <si>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</si>
  <si>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</si>
  <si>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</si>
  <si>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</si>
  <si>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</si>
  <si>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</si>
  <si>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</si>
  <si>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</si>
  <si>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</si>
  <si>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</si>
  <si>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</si>
  <si>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</si>
  <si>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</si>
  <si>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</si>
  <si>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</si>
  <si>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</si>
  <si>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</si>
  <si>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</si>
  <si>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</si>
  <si>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</si>
  <si>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</si>
  <si>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</si>
  <si>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</si>
  <si>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</si>
  <si>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</si>
  <si>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</si>
  <si>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</si>
  <si>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</si>
  <si>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</si>
  <si>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</si>
  <si>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</si>
  <si>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</si>
  <si>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</si>
  <si>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</si>
  <si>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</si>
  <si>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</si>
  <si>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</si>
  <si>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</si>
  <si>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</si>
  <si>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</si>
  <si>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</si>
  <si>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</si>
  <si>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</si>
  <si>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</si>
  <si>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</si>
  <si>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</si>
  <si>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</si>
  <si>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</si>
  <si>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</si>
  <si>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</si>
  <si>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</si>
  <si>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</si>
  <si>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</si>
  <si>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</si>
  <si>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</si>
  <si>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</si>
  <si>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</si>
  <si>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</si>
  <si>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</si>
  <si>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</si>
  <si>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</si>
  <si>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</si>
  <si>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</si>
  <si>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</si>
  <si>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</si>
  <si>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</si>
  <si>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</si>
  <si>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</si>
  <si>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</si>
  <si>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</si>
  <si>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</si>
  <si>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</si>
  <si>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</si>
  <si>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</si>
  <si>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</si>
  <si>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</si>
  <si>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</si>
  <si>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</si>
  <si>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</si>
  <si>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</si>
  <si>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</si>
  <si>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</si>
  <si>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</si>
  <si>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</si>
  <si>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</si>
  <si>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</si>
  <si>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</si>
  <si>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</si>
  <si>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</si>
  <si>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</si>
  <si>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</si>
  <si>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</si>
  <si>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</si>
  <si>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</si>
  <si>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</si>
  <si>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</si>
  <si>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</si>
  <si>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</si>
  <si>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</si>
  <si>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</si>
  <si>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</si>
  <si>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</si>
  <si>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</si>
  <si>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</si>
  <si>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</si>
  <si>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</si>
  <si>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</si>
  <si>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</si>
  <si>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</si>
  <si>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</si>
  <si>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</si>
  <si>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</si>
  <si>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</si>
  <si>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</si>
  <si>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</si>
  <si>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</si>
  <si>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</si>
  <si>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</si>
  <si>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</si>
  <si>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</si>
  <si>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</si>
  <si>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</si>
  <si>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</si>
  <si>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</si>
  <si>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</si>
  <si>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</si>
  <si>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</si>
  <si>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</si>
  <si>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</si>
  <si>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</si>
  <si>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</si>
  <si>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</si>
  <si>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</si>
  <si>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</si>
  <si>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</si>
  <si>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</si>
  <si>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</si>
  <si>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</si>
  <si>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</si>
  <si>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</si>
  <si>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</si>
  <si>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</si>
  <si>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</si>
  <si>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</si>
  <si>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</si>
  <si>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</si>
  <si>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</si>
  <si>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</si>
  <si>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</si>
  <si>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</si>
  <si>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</si>
  <si>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</si>
  <si>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</si>
  <si>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</si>
  <si>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</si>
  <si>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</si>
  <si>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</si>
  <si>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</si>
  <si>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</si>
  <si>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</si>
  <si>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</si>
  <si>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</si>
  <si>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</si>
  <si>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</si>
  <si>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</si>
  <si>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</si>
  <si>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</si>
  <si>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</si>
  <si>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</si>
  <si>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</si>
  <si>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</si>
  <si>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</si>
  <si>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</si>
  <si>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</si>
  <si>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</si>
  <si>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</si>
  <si>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</si>
  <si>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</si>
  <si>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</si>
  <si>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</si>
  <si>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</si>
  <si>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</si>
  <si>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</si>
  <si>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</si>
  <si>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</si>
  <si>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</si>
  <si>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</si>
  <si>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</si>
  <si>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</si>
  <si>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</si>
  <si>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</si>
  <si>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</si>
  <si>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</si>
  <si>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</si>
  <si>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</si>
  <si>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</si>
  <si>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</si>
  <si>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</si>
  <si>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</si>
  <si>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</si>
  <si>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</si>
  <si>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</si>
  <si>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</si>
  <si>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</si>
  <si>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</si>
  <si>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</si>
  <si>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</si>
  <si>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</si>
  <si>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</si>
  <si>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</si>
  <si>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</si>
  <si>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</si>
  <si>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</si>
  <si>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</si>
  <si>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</si>
  <si>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</si>
  <si>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</si>
  <si>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</si>
  <si>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</si>
  <si>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</si>
  <si>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</si>
  <si>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</si>
  <si>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</si>
  <si>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</si>
  <si>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</si>
  <si>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</si>
  <si>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</si>
  <si>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</si>
  <si>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</si>
  <si>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</si>
  <si>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</si>
  <si>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</si>
  <si>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</si>
  <si>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</si>
  <si>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</si>
  <si>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</si>
  <si>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</si>
  <si>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</si>
  <si>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</si>
  <si>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</si>
  <si>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</si>
  <si>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</si>
  <si>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</si>
  <si>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</si>
  <si>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</si>
  <si>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</si>
  <si>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</si>
  <si>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</si>
  <si>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</si>
  <si>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</si>
  <si>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</si>
  <si>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</si>
  <si>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</si>
  <si>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</si>
  <si>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</si>
  <si>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</si>
  <si>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</si>
  <si>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</si>
  <si>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</si>
  <si>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</si>
  <si>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</si>
  <si>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</si>
  <si>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</si>
  <si>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</si>
  <si>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</si>
  <si>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</si>
  <si>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</si>
  <si>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</si>
  <si>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</si>
  <si>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</si>
  <si>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</si>
  <si>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</si>
  <si>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</si>
  <si>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</si>
  <si>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</si>
  <si>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</si>
  <si>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</si>
  <si>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</si>
  <si>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</si>
  <si>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</si>
  <si>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</si>
  <si>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</si>
  <si>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</si>
  <si>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</si>
  <si>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</si>
  <si>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</si>
  <si>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</si>
  <si>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</si>
  <si>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</si>
  <si>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</si>
  <si>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</si>
  <si>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</si>
  <si>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</si>
  <si>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</si>
  <si>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</si>
  <si>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</si>
  <si>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</si>
  <si>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</si>
  <si>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</si>
  <si>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</si>
  <si>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</si>
  <si>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</si>
  <si>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</si>
  <si>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</si>
  <si>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</si>
  <si>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</si>
  <si>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</si>
  <si>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</si>
  <si>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</si>
  <si>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</si>
  <si>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</si>
  <si>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</si>
  <si>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</si>
  <si>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</si>
  <si>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</si>
  <si>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</si>
  <si>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</si>
  <si>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</si>
  <si>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</si>
  <si>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</si>
  <si>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</si>
  <si>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</si>
  <si>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</si>
  <si>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</si>
  <si>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</si>
  <si>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</si>
  <si>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</si>
  <si>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</si>
  <si>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</si>
  <si>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</si>
  <si>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</si>
  <si>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</si>
  <si>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</si>
  <si>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</si>
  <si>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</si>
  <si>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</si>
  <si>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</si>
  <si>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</si>
  <si>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</si>
  <si>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</si>
  <si>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</si>
  <si>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</si>
  <si>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</si>
  <si>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</si>
  <si>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</si>
  <si>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</si>
  <si>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</si>
  <si>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</si>
  <si>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</si>
  <si>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</si>
  <si>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</si>
  <si>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</si>
  <si>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</si>
  <si>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</si>
  <si>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</si>
  <si>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</si>
  <si>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</si>
  <si>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</si>
  <si>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</si>
  <si>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</si>
  <si>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</si>
  <si>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</si>
  <si>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</si>
  <si>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</si>
  <si>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</si>
  <si>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</si>
  <si>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</si>
  <si>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</si>
  <si>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</si>
  <si>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</si>
  <si>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</si>
  <si>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</si>
  <si>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</si>
  <si>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</si>
  <si>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</si>
  <si>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</si>
  <si>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</si>
  <si>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</si>
  <si>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</si>
  <si>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</si>
  <si>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</si>
  <si>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</si>
  <si>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</si>
  <si>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</si>
  <si>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</si>
  <si>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</si>
  <si>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</si>
  <si>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</si>
  <si>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</si>
  <si>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</si>
  <si>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</si>
  <si>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</si>
  <si>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</si>
  <si>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</si>
  <si>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</si>
  <si>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</si>
  <si>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</si>
  <si>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</si>
  <si>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</si>
  <si>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</si>
  <si>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</si>
  <si>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</si>
  <si>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</si>
  <si>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</si>
  <si>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</si>
  <si>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</si>
  <si>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</si>
  <si>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</si>
  <si>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</si>
  <si>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</si>
  <si>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</si>
  <si>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</si>
  <si>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</si>
  <si>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</si>
  <si>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</si>
  <si>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</si>
  <si>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</si>
  <si>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</si>
  <si>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</si>
  <si>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</si>
  <si>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</si>
  <si>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</si>
  <si>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</si>
  <si>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</si>
  <si>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</si>
  <si>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</si>
  <si>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</si>
  <si>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</si>
  <si>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</si>
  <si>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</si>
  <si>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</si>
  <si>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</si>
  <si>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</si>
  <si>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</si>
  <si>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</si>
  <si>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</si>
  <si>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</si>
  <si>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</si>
  <si>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</si>
  <si>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</si>
  <si>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</si>
  <si>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</si>
  <si>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</si>
  <si>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</si>
  <si>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</si>
  <si>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</si>
  <si>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</si>
  <si>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</si>
  <si>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</si>
  <si>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</si>
  <si>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</si>
  <si>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</si>
  <si>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</si>
  <si>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</si>
  <si>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</si>
  <si>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</si>
  <si>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</si>
  <si>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</si>
  <si>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</si>
  <si>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</si>
  <si>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</si>
  <si>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</si>
  <si>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</si>
  <si>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</si>
  <si>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</si>
  <si>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</si>
  <si>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</si>
  <si>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</si>
  <si>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</si>
  <si>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</si>
  <si>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</si>
  <si>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</si>
  <si>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</si>
  <si>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</si>
  <si>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</si>
  <si>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</si>
  <si>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</si>
  <si>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</si>
  <si>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</si>
  <si>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</si>
  <si>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</si>
  <si>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</si>
  <si>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</si>
  <si>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</si>
  <si>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</si>
  <si>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</si>
  <si>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</si>
  <si>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</si>
  <si>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</si>
  <si>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</si>
  <si>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</si>
  <si>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</si>
  <si>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</si>
  <si>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</si>
  <si>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</si>
  <si>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</si>
  <si>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</si>
  <si>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</si>
  <si>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</si>
  <si>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</si>
  <si>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</si>
  <si>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</si>
  <si>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</si>
  <si>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</si>
  <si>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</si>
  <si>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</si>
  <si>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</si>
  <si>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</si>
  <si>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</si>
  <si>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</si>
  <si>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</si>
  <si>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</si>
  <si>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</si>
  <si>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</si>
  <si>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</si>
  <si>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</si>
  <si>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</si>
  <si>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</si>
  <si>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</si>
  <si>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</si>
  <si>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</si>
  <si>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</si>
  <si>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</si>
  <si>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</si>
  <si>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</si>
  <si>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</si>
  <si>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</si>
  <si>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</si>
  <si>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</si>
  <si>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</si>
  <si>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</si>
  <si>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</si>
  <si>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</si>
  <si>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</si>
  <si>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</si>
  <si>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</si>
  <si>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</si>
  <si>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</si>
  <si>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</si>
  <si>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</si>
  <si>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</si>
  <si>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</si>
  <si>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</si>
  <si>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</si>
  <si>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</si>
  <si>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</si>
  <si>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</si>
  <si>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</si>
  <si>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</si>
  <si>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</si>
  <si>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</si>
  <si>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</si>
  <si>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</si>
  <si>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</si>
  <si>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</si>
  <si>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</si>
  <si>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</si>
  <si>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</si>
  <si>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</si>
  <si>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</si>
  <si>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</si>
  <si>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</si>
  <si>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</si>
  <si>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</si>
  <si>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</si>
  <si>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</si>
  <si>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</si>
  <si>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</si>
  <si>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</si>
  <si>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</si>
  <si>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</si>
  <si>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</si>
  <si>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</si>
  <si>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</si>
  <si>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</si>
  <si>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</si>
  <si>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</si>
  <si>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</si>
  <si>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</si>
  <si>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</si>
  <si>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</si>
  <si>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</si>
  <si>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</si>
  <si>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</si>
  <si>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</si>
  <si>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</si>
  <si>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</si>
  <si>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</si>
  <si>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</si>
  <si>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</si>
  <si>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</si>
  <si>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</si>
  <si>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</si>
  <si>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</si>
  <si>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</si>
  <si>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</si>
  <si>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</si>
  <si>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</si>
  <si>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</si>
  <si>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</si>
  <si>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</si>
  <si>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</si>
  <si>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</si>
  <si>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</si>
  <si>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</si>
  <si>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</si>
  <si>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</si>
  <si>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</si>
  <si>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</si>
  <si>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</si>
  <si>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</si>
  <si>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</si>
  <si>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</si>
  <si>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</si>
  <si>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</si>
  <si>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</si>
  <si>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</si>
  <si>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</si>
  <si>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</si>
  <si>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</si>
  <si>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</si>
  <si>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</si>
  <si>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</si>
  <si>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</si>
  <si>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</si>
  <si>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</si>
  <si>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</si>
  <si>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</si>
  <si>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</si>
  <si>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</si>
  <si>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</si>
  <si>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</si>
  <si>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</si>
  <si>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</si>
  <si>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</si>
  <si>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</si>
  <si>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</si>
  <si>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</si>
  <si>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</si>
  <si>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</si>
  <si>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</si>
  <si>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</si>
  <si>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</si>
  <si>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</si>
  <si>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</si>
  <si>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</si>
  <si>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</si>
  <si>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</si>
  <si>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</si>
  <si>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</si>
  <si>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</si>
  <si>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</si>
  <si>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</si>
  <si>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</si>
  <si>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</si>
  <si>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</si>
  <si>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</si>
  <si>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</si>
  <si>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</si>
  <si>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</si>
  <si>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</si>
  <si>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</si>
  <si>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</si>
  <si>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</si>
  <si>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</si>
  <si>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</si>
  <si>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</si>
  <si>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</si>
  <si>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</si>
  <si>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</si>
  <si>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</si>
  <si>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</si>
  <si>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</si>
  <si>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</si>
  <si>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</si>
  <si>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</si>
  <si>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</si>
  <si>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</si>
  <si>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</si>
  <si>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</si>
  <si>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</si>
  <si>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</si>
  <si>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</si>
  <si>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</si>
  <si>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</si>
  <si>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</si>
  <si>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</si>
  <si>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</si>
  <si>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</si>
  <si>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</si>
  <si>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</si>
  <si>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</si>
  <si>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</si>
  <si>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</si>
  <si>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</si>
  <si>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</si>
  <si>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</si>
  <si>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</si>
  <si>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</si>
  <si>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</si>
  <si>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</si>
  <si>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</si>
  <si>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</si>
  <si>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</si>
  <si>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</si>
  <si>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</si>
  <si>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</si>
  <si>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</si>
  <si>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</si>
  <si>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</si>
  <si>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</si>
  <si>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</si>
  <si>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</si>
  <si>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</si>
  <si>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</si>
  <si>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</si>
  <si>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</si>
  <si>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</si>
  <si>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</si>
  <si>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</si>
  <si>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</si>
  <si>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</si>
  <si>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</si>
  <si>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</si>
  <si>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</si>
  <si>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</si>
  <si>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</si>
  <si>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</si>
  <si>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</si>
  <si>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</si>
  <si>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</si>
  <si>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</si>
  <si>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</si>
  <si>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</si>
  <si>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</si>
  <si>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</si>
  <si>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</si>
  <si>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</si>
  <si>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</si>
  <si>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</si>
  <si>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</si>
  <si>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</si>
  <si>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</si>
  <si>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</si>
  <si>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</si>
  <si>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</si>
  <si>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</si>
  <si>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</si>
  <si>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</si>
  <si>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</si>
  <si>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</si>
  <si>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</si>
  <si>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</si>
  <si>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</si>
  <si>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</si>
  <si>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</si>
  <si>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</si>
  <si>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</si>
  <si>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</si>
  <si>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</si>
  <si>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</si>
  <si>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</si>
  <si>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</si>
  <si>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</si>
  <si>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</si>
  <si>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</si>
  <si>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</si>
  <si>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</si>
  <si>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</si>
  <si>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</si>
  <si>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</si>
  <si>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</si>
  <si>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</si>
  <si>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</si>
  <si>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</si>
  <si>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</si>
  <si>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</si>
  <si>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</si>
  <si>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</si>
  <si>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</si>
  <si>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</si>
  <si>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</si>
  <si>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</si>
  <si>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</si>
  <si>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</si>
  <si>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</si>
  <si>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</si>
  <si>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</si>
  <si>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</si>
  <si>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</si>
  <si>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</si>
  <si>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</si>
  <si>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</si>
  <si>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</si>
  <si>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</si>
  <si>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</si>
  <si>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</si>
  <si>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</si>
  <si>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</si>
  <si>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</si>
  <si>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</si>
  <si>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</si>
  <si>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</si>
  <si>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</si>
  <si>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</si>
  <si>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</si>
  <si>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</si>
  <si>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</si>
  <si>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</si>
  <si>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</si>
  <si>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</si>
  <si>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</si>
  <si>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</si>
  <si>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</si>
  <si>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</si>
  <si>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</si>
  <si>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</si>
  <si>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</si>
  <si>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</si>
  <si>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</si>
  <si>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</si>
  <si>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</si>
  <si>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</si>
  <si>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</si>
  <si>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</si>
  <si>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</si>
  <si>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</si>
  <si>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</si>
  <si>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</si>
  <si>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</si>
  <si>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</si>
  <si>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</si>
  <si>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</si>
  <si>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</si>
  <si>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</si>
  <si>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</si>
  <si>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</si>
  <si>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</si>
  <si>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</si>
  <si>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</si>
  <si>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</si>
  <si>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</si>
  <si>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</si>
  <si>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</si>
  <si>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</si>
  <si>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</si>
  <si>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</si>
  <si>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</si>
  <si>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</si>
  <si>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</si>
  <si>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</si>
  <si>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</si>
  <si>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</si>
  <si>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</si>
  <si>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</si>
  <si>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</si>
  <si>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</si>
  <si>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</si>
  <si>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</si>
  <si>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</si>
  <si>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</si>
  <si>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</si>
  <si>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</si>
  <si>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</si>
  <si>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</si>
  <si>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</si>
  <si>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</si>
  <si>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</si>
  <si>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</si>
  <si>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</si>
  <si>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</si>
  <si>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</si>
  <si>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</si>
  <si>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</si>
  <si>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</si>
  <si>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</si>
  <si>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</si>
  <si>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</si>
  <si>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</si>
  <si>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</si>
  <si>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</si>
  <si>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</si>
  <si>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</si>
  <si>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</si>
  <si>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</si>
  <si>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</si>
  <si>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</si>
  <si>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</si>
  <si>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</si>
  <si>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</si>
  <si>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</si>
  <si>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</si>
  <si>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</si>
  <si>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</si>
  <si>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</si>
  <si>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</si>
  <si>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</si>
  <si>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</si>
  <si>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</si>
  <si>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</si>
  <si>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</si>
  <si>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</si>
  <si>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</si>
  <si>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</si>
  <si>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</si>
  <si>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</si>
  <si>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</si>
  <si>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</si>
  <si>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</si>
  <si>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</si>
  <si>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</si>
  <si>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</si>
  <si>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</si>
  <si>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</si>
  <si>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</si>
  <si>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</si>
  <si>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</si>
  <si>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</si>
  <si>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</si>
  <si>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</si>
  <si>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</si>
  <si>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</si>
  <si>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</si>
  <si>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</si>
  <si>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</si>
  <si>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</si>
  <si>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</si>
  <si>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</si>
  <si>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</si>
  <si>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</si>
  <si>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</si>
  <si>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</si>
  <si>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</si>
  <si>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</si>
  <si>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</si>
  <si>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</si>
  <si>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</si>
  <si>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</si>
  <si>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</si>
  <si>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</si>
  <si>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</si>
  <si>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</si>
  <si>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</si>
  <si>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</si>
  <si>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</si>
  <si>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</si>
  <si>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</si>
  <si>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</si>
  <si>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</si>
  <si>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</si>
  <si>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</si>
  <si>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</si>
  <si>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</si>
  <si>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</si>
  <si>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</si>
  <si>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</si>
  <si>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</si>
  <si>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</si>
  <si>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</si>
  <si>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</si>
  <si>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</si>
  <si>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</si>
  <si>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</si>
  <si>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</si>
  <si>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</si>
  <si>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</si>
  <si>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</si>
  <si>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</si>
  <si>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</si>
  <si>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</si>
  <si>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</si>
  <si>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</si>
  <si>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</si>
  <si>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</si>
  <si>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</si>
  <si>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</si>
  <si>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</si>
  <si>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</si>
  <si>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</si>
  <si>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</si>
  <si>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</si>
  <si>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</si>
  <si>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</si>
  <si>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</si>
  <si>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</si>
  <si>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</si>
  <si>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</si>
  <si>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</si>
  <si>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</si>
  <si>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</si>
  <si>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</si>
  <si>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</si>
  <si>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</si>
  <si>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</si>
  <si>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</si>
  <si>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</si>
  <si>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</si>
  <si>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</si>
  <si>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</si>
  <si>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</si>
  <si>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</si>
  <si>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</si>
  <si>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</si>
  <si>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</si>
  <si>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</si>
  <si>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</si>
  <si>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</si>
  <si>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</si>
  <si>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</si>
  <si>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</si>
  <si>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</si>
  <si>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</si>
  <si>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</si>
  <si>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</si>
  <si>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</si>
  <si>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</si>
  <si>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</si>
  <si>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</si>
  <si>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</si>
  <si>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</si>
  <si>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</si>
  <si>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</si>
  <si>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</si>
  <si>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</si>
  <si>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</si>
  <si>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</si>
  <si>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</si>
  <si>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</si>
  <si>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</si>
  <si>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</si>
  <si>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</si>
  <si>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</si>
  <si>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</si>
  <si>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</si>
  <si>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</si>
  <si>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</si>
  <si>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</si>
  <si>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</si>
  <si>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</si>
  <si>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</si>
  <si>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</si>
  <si>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</si>
  <si>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</si>
  <si>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</si>
  <si>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</si>
  <si>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</si>
  <si>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</si>
  <si>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</si>
  <si>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</si>
  <si>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</si>
  <si>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</si>
  <si>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</si>
  <si>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</si>
  <si>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</si>
  <si>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</si>
  <si>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</si>
  <si>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</si>
  <si>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</si>
  <si>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</si>
  <si>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</si>
  <si>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</si>
  <si>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</si>
  <si>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</si>
  <si>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</si>
  <si>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</si>
  <si>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</si>
  <si>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</si>
  <si>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</si>
  <si>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</si>
  <si>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</si>
  <si>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</si>
  <si>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</si>
  <si>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</si>
  <si>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</si>
  <si>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</si>
  <si>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</si>
  <si>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</si>
  <si>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</si>
  <si>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</si>
  <si>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</si>
  <si>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</si>
  <si>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</si>
  <si>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</si>
  <si>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</si>
  <si>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</si>
  <si>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</si>
  <si>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</si>
  <si>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</si>
  <si>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</si>
  <si>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</si>
  <si>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</si>
  <si>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</si>
  <si>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</si>
  <si>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</si>
  <si>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</si>
  <si>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</si>
  <si>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</si>
  <si>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</si>
  <si>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</si>
  <si>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</si>
  <si>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</si>
  <si>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</si>
  <si>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</si>
  <si>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</si>
  <si>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</si>
  <si>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</si>
  <si>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</si>
  <si>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</si>
  <si>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</si>
  <si>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</si>
  <si>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</si>
  <si>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</si>
  <si>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</si>
  <si>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</si>
  <si>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</si>
  <si>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</si>
  <si>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</si>
  <si>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</si>
  <si>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</si>
  <si>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</si>
  <si>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</si>
  <si>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</si>
  <si>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</si>
  <si>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</si>
  <si>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</si>
  <si>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</si>
  <si>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</si>
  <si>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</si>
  <si>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</si>
  <si>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</si>
  <si>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</si>
  <si>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</si>
  <si>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</si>
  <si>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</si>
  <si>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</si>
  <si>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</si>
  <si>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</si>
  <si>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</si>
  <si>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</si>
  <si>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</si>
  <si>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</si>
  <si>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</si>
  <si>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</si>
  <si>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</si>
  <si>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</si>
  <si>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</si>
  <si>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</si>
  <si>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</si>
  <si>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</si>
  <si>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</si>
  <si>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</si>
  <si>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</si>
  <si>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</si>
  <si>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</si>
  <si>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</si>
  <si>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</si>
  <si>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</si>
  <si>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</si>
  <si>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</si>
  <si>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</si>
  <si>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</si>
  <si>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</si>
  <si>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</si>
  <si>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</si>
  <si>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</si>
  <si>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</si>
  <si>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</si>
  <si>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</si>
  <si>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</si>
  <si>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</si>
  <si>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</si>
  <si>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</si>
  <si>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</si>
  <si>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</si>
  <si>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</si>
  <si>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</si>
  <si>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</si>
  <si>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</si>
  <si>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</si>
  <si>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</si>
  <si>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</si>
  <si>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</si>
  <si>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</si>
  <si>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</si>
  <si>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</si>
  <si>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</si>
  <si>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</si>
  <si>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</si>
  <si>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</si>
  <si>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</si>
  <si>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</si>
  <si>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</si>
  <si>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</si>
  <si>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</si>
  <si>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</si>
  <si>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</si>
  <si>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</si>
  <si>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</si>
  <si>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</si>
  <si>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</si>
  <si>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</si>
  <si>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</si>
  <si>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</si>
  <si>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</si>
  <si>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</si>
  <si>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</si>
  <si>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</si>
  <si>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</si>
  <si>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</si>
  <si>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</si>
  <si>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</si>
  <si>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</si>
  <si>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</si>
  <si>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</si>
  <si>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</si>
  <si>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</si>
  <si>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</si>
  <si>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</si>
  <si>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</si>
  <si>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</si>
  <si>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</si>
  <si>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</si>
  <si>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</si>
  <si>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</si>
  <si>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</si>
  <si>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</si>
  <si>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</si>
  <si>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</si>
  <si>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</si>
  <si>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</si>
  <si>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</si>
  <si>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</si>
  <si>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</si>
  <si>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</si>
  <si>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</si>
  <si>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</si>
  <si>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</si>
  <si>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</si>
  <si>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</si>
  <si>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</si>
  <si>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</si>
  <si>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</si>
  <si>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</si>
  <si>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</si>
  <si>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</si>
  <si>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</si>
  <si>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</si>
  <si>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</si>
  <si>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</si>
  <si>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</si>
  <si>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</si>
  <si>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</si>
  <si>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</si>
  <si>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</si>
  <si>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</si>
  <si>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</si>
  <si>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</si>
  <si>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</si>
  <si>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</si>
  <si>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</si>
  <si>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</si>
  <si>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</si>
  <si>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</si>
  <si>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</si>
  <si>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</si>
  <si>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</si>
  <si>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</si>
  <si>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</si>
  <si>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</si>
  <si>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</si>
  <si>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</si>
  <si>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</si>
  <si>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</si>
  <si>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</si>
  <si>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</si>
  <si>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</si>
  <si>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</si>
  <si>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</si>
  <si>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</si>
  <si>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</si>
  <si>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</si>
  <si>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</si>
  <si>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</si>
  <si>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</si>
  <si>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</si>
  <si>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</si>
  <si>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</si>
  <si>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</si>
  <si>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</si>
  <si>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</si>
  <si>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</si>
  <si>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</si>
  <si>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</si>
  <si>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</si>
  <si>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</si>
  <si>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</si>
  <si>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</si>
  <si>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</si>
  <si>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</si>
  <si>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</si>
  <si>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</si>
  <si>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</si>
  <si>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</si>
  <si>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</si>
  <si>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</si>
  <si>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</si>
  <si>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</si>
  <si>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</si>
  <si>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</si>
  <si>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</si>
  <si>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</si>
  <si>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</si>
  <si>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</si>
  <si>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</si>
  <si>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</si>
  <si>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</si>
  <si>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</si>
  <si>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</si>
  <si>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</si>
  <si>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</si>
  <si>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</si>
  <si>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</si>
  <si>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</si>
  <si>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</si>
  <si>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</si>
  <si>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</si>
  <si>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</si>
  <si>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</si>
  <si>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</si>
  <si>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</si>
  <si>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</si>
  <si>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</si>
  <si>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</si>
  <si>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</si>
  <si>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</si>
  <si>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</si>
  <si>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</si>
  <si>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</si>
  <si>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</si>
  <si>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</si>
  <si>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</si>
  <si>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</si>
  <si>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</si>
  <si>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</si>
  <si>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</si>
  <si>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</si>
  <si>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</si>
  <si>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</si>
  <si>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</si>
  <si>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</si>
  <si>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</si>
  <si>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</si>
  <si>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</si>
  <si>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</si>
  <si>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</si>
  <si>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</si>
  <si>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</si>
  <si>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</si>
  <si>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</si>
  <si>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</si>
  <si>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</si>
  <si>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</si>
  <si>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</si>
  <si>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</si>
  <si>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</si>
  <si>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</si>
  <si>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</si>
  <si>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</si>
  <si>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</si>
  <si>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</si>
  <si>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</si>
  <si>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</si>
  <si>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</si>
  <si>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</si>
  <si>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</si>
  <si>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</si>
  <si>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</si>
  <si>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</si>
  <si>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</si>
  <si>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</si>
  <si>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</si>
  <si>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</si>
  <si>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</si>
  <si>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</si>
  <si>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</si>
  <si>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</si>
  <si>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</si>
  <si>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</si>
  <si>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</si>
  <si>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</si>
  <si>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</si>
  <si>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</si>
  <si>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</si>
  <si>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</si>
  <si>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</si>
  <si>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</si>
  <si>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</si>
  <si>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</si>
  <si>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</si>
  <si>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</si>
  <si>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</si>
  <si>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</si>
  <si>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</si>
  <si>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</si>
  <si>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</si>
  <si>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</si>
  <si>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</si>
  <si>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</si>
  <si>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</si>
  <si>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</si>
  <si>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</si>
  <si>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</si>
  <si>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</si>
  <si>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</si>
  <si>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</si>
  <si>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</si>
  <si>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</si>
  <si>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</si>
  <si>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</si>
  <si>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</si>
  <si>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</si>
  <si>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</si>
  <si>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</si>
  <si>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</si>
  <si>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</si>
  <si>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</si>
  <si>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</si>
  <si>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</si>
  <si>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</si>
  <si>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</si>
  <si>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</si>
  <si>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</si>
  <si>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</si>
  <si>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</si>
  <si>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</si>
  <si>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</si>
  <si>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</si>
  <si>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</si>
  <si>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</si>
  <si>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</si>
  <si>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</si>
  <si>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</si>
  <si>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</si>
  <si>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</si>
  <si>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</si>
  <si>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</si>
  <si>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</si>
  <si>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</si>
  <si>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</si>
  <si>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</si>
  <si>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</si>
  <si>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Execução de solda no AMV </t>
  </si>
  <si>
    <t>Adenilson</t>
  </si>
  <si>
    <t>Deslocamento de ZTP para TAP</t>
  </si>
  <si>
    <t>1(Edson)</t>
  </si>
  <si>
    <t>V53</t>
  </si>
  <si>
    <t>ZTO</t>
  </si>
  <si>
    <t>ZXE-ZTO</t>
  </si>
  <si>
    <t>ZXEZTO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</si>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</sst>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 hidden="1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 hidden="1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 hidden="1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 hidden="1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 hidden="1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 hidden="1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 hidden="1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 hidden="1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 hidden="1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 hidden="1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 hidden="1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 hidden="1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 hidden="1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 hidden="1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 hidden="1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 hidden="1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 hidden="1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 hidden="1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 hidden="1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 hidden="1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 hidden="1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 hidden="1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 hidden="1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 hidden="1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 hidden="1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 hidden="1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 hidden="1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 hidden="1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 hidden="1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 hidden="1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 hidden="1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 hidden="1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 hidden="1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 hidden="1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 hidden="1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 hidden="1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 hidden="1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 hidden="1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 hidden="1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 hidden="1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 hidden="1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 hidden="1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 hidden="1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 hidden="1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 hidden="1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 hidden="1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 hidden="1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 hidden="1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 hidden="1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 hidden="1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 hidden="1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 hidden="1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 hidden="1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 hidden="1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 hidden="1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 hidden="1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 hidden="1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 hidden="1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 hidden="1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 hidden="1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 hidden="1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 hidden="1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 hidden="1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 hidden="1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 hidden="1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 hidden="1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 hidden="1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 hidden="1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 hidden="1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 hidden="1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 hidden="1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 hidden="1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 hidden="1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 hidden="1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 hidden="1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 hidden="1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 hidden="1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 hidden="1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 hidden="1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 hidden="1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 hidden="1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 hidden="1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 hidden="1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 hidden="1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 hidden="1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 hidden="1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 hidden="1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 hidden="1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 hidden="1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 hidden="1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 hidden="1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 hidden="1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 hidden="1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 hidden="1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 hidden="1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 hidden="1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 hidden="1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 hidden="1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 hidden="1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 hidden="1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 hidden="1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 hidden="1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 hidden="1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 hidden="1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 hidden="1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 hidden="1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 hidden="1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 hidden="1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 hidden="1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 hidden="1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 hidden="1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 hidden="1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 hidden="1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 hidden="1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 hidden="1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 hidden="1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 hidden="1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 hidden="1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 hidden="1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 hidden="1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 hidden="1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 hidden="1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 hidden="1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 hidden="1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 hidden="1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 hidden="1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 hidden="1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 hidden="1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 hidden="1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 hidden="1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 hidden="1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 hidden="1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 hidden="1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 hidden="1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 hidden="1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 hidden="1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 hidden="1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 hidden="1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 hidden="1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 hidden="1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 hidden="1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 hidden="1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 hidden="1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 hidden="1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 hidden="1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 hidden="1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 hidden="1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 hidden="1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 hidden="1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 hidden="1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 hidden="1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 hidden="1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 hidden="1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 hidden="1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 hidden="1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 hidden="1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 hidden="1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 hidden="1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 hidden="1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 hidden="1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 hidden="1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 hidden="1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 hidden="1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 hidden="1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 hidden="1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 hidden="1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 hidden="1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 hidden="1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 hidden="1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 hidden="1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 hidden="1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 hidden="1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 hidden="1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 hidden="1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 hidden="1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 hidden="1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 hidden="1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 hidden="1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 hidden="1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 hidden="1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 hidden="1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 hidden="1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 hidden="1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 hidden="1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 hidden="1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 hidden="1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 hidden="1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 hidden="1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 hidden="1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 hidden="1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 hidden="1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 hidden="1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 hidden="1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 hidden="1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 hidden="1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 hidden="1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 hidden="1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 hidden="1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 hidden="1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 hidden="1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 hidden="1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 hidden="1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 hidden="1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 hidden="1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 hidden="1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 hidden="1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 hidden="1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 hidden="1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 hidden="1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 hidden="1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 hidden="1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 hidden="1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 hidden="1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 hidden="1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 hidden="1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 hidden="1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 hidden="1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 hidden="1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 hidden="1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 hidden="1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 hidden="1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 hidden="1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 hidden="1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 hidden="1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 hidden="1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 hidden="1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 hidden="1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 hidden="1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 hidden="1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 hidden="1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 hidden="1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 hidden="1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 hidden="1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 hidden="1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 hidden="1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 hidden="1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 hidden="1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 hidden="1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 hidden="1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 hidden="1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 hidden="1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 hidden="1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 hidden="1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 hidden="1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 hidden="1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 hidden="1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 hidden="1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 hidden="1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 hidden="1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 hidden="1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 hidden="1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 hidden="1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 hidden="1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 hidden="1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 hidden="1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 hidden="1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 hidden="1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 hidden="1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 hidden="1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 hidden="1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 hidden="1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 hidden="1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 hidden="1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 hidden="1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 hidden="1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 hidden="1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 hidden="1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 hidden="1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 hidden="1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 hidden="1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 hidden="1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 hidden="1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 hidden="1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 hidden="1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 hidden="1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 hidden="1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 hidden="1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 hidden="1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 hidden="1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 hidden="1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 hidden="1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 hidden="1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 hidden="1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 hidden="1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 hidden="1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 hidden="1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 hidden="1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 hidden="1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 hidden="1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 hidden="1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 hidden="1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 hidden="1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 hidden="1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 hidden="1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 hidden="1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 hidden="1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 hidden="1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 hidden="1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 hidden="1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 hidden="1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 hidden="1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 hidden="1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 hidden="1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 hidden="1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 hidden="1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 hidden="1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 hidden="1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 hidden="1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 hidden="1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 hidden="1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 hidden="1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 hidden="1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 hidden="1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 hidden="1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 hidden="1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 hidden="1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 hidden="1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 hidden="1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 hidden="1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 hidden="1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 hidden="1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 hidden="1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 hidden="1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 hidden="1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 hidden="1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 hidden="1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 hidden="1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 hidden="1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 hidden="1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 hidden="1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 hidden="1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 hidden="1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 hidden="1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 hidden="1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 hidden="1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 hidden="1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 hidden="1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 hidden="1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 hidden="1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 hidden="1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 hidden="1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 hidden="1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 hidden="1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 hidden="1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 hidden="1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 hidden="1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 hidden="1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 hidden="1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 hidden="1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 hidden="1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 hidden="1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 hidden="1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 hidden="1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 hidden="1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 hidden="1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 hidden="1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 hidden="1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 hidden="1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 hidden="1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 hidden="1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 hidden="1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 hidden="1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 hidden="1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 hidden="1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 hidden="1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 hidden="1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 hidden="1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 hidden="1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 hidden="1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 hidden="1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 hidden="1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 hidden="1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 hidden="1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 hidden="1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 hidden="1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 hidden="1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 hidden="1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 hidden="1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 hidden="1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 hidden="1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 hidden="1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 hidden="1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 hidden="1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 hidden="1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 hidden="1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 hidden="1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 hidden="1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 hidden="1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 hidden="1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 hidden="1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 hidden="1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 hidden="1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 hidden="1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 hidden="1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 hidden="1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 hidden="1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 hidden="1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 hidden="1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 hidden="1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 hidden="1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 hidden="1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 hidden="1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 hidden="1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 hidden="1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 hidden="1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 hidden="1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 hidden="1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 hidden="1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 hidden="1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 hidden="1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 hidden="1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 hidden="1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 hidden="1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 hidden="1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 hidden="1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 hidden="1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zoomScaleNormal="100" workbookViewId="0">
      <pane xSplit="6" topLeftCell="G5" activePane="topRight" state="frozen"/>
      <selection pane="topRight" activeCell="K266" sqref="K26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1729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1731</v>
      </c>
      <c r="BK232" s="14" t="s">
        <v>1732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640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1733</v>
      </c>
      <c r="BK233" s="14" t="s">
        <v>1733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1733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1734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1735</v>
      </c>
      <c r="BK234" s="14" t="s">
        <v>1736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640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1737</v>
      </c>
      <c r="BK235" s="14" t="s">
        <v>1738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640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>
        <v>0.36041666666666666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>
        <v>0</v>
      </c>
      <c r="BI237" s="14"/>
      <c r="BJ237" s="14" t="s">
        <v>1739</v>
      </c>
      <c r="BK237" s="14" t="s">
        <v>1739</v>
      </c>
      <c r="BL237" s="13"/>
      <c r="BM237" s="12" t="s">
        <v>1025</v>
      </c>
      <c r="BN237" s="12" t="s">
        <v>1055</v>
      </c>
      <c r="BO237" s="130" t="s">
        <v>1036</v>
      </c>
      <c r="BP237" s="14" t="s">
        <v>1739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CCOCirculaçãoIntervaloOportunidade</v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 hidden="1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>
        <v>0.37291666666666667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>
        <v>0</v>
      </c>
      <c r="BI239" s="14"/>
      <c r="BJ239" s="14" t="s">
        <v>1740</v>
      </c>
      <c r="BK239" s="14" t="s">
        <v>1741</v>
      </c>
      <c r="BL239" s="13"/>
      <c r="BM239" s="12" t="s">
        <v>1017</v>
      </c>
      <c r="BN239" s="12" t="s">
        <v>1040</v>
      </c>
      <c r="BO239" s="130" t="s">
        <v>1105</v>
      </c>
      <c r="BP239" s="14" t="s">
        <v>1741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TISistema</v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4.1666666666666664E-2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1742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>
        <v>0.48888888888888887</v>
      </c>
      <c r="AS241" s="32">
        <v>0.52638888888888891</v>
      </c>
      <c r="AT241" s="32">
        <v>0.56805555555555554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4.166666666666663E-2</v>
      </c>
      <c r="AZ241" s="11"/>
      <c r="BA241" s="60">
        <v>100</v>
      </c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>
        <v>2</v>
      </c>
      <c r="BI241" s="14"/>
      <c r="BJ241" s="14" t="s">
        <v>1743</v>
      </c>
      <c r="BK241" s="14" t="s">
        <v>1744</v>
      </c>
      <c r="BL241" s="13"/>
      <c r="BM241" s="12" t="s">
        <v>1030</v>
      </c>
      <c r="BN241" s="12" t="s">
        <v>1030</v>
      </c>
      <c r="BO241" s="130" t="s">
        <v>1030</v>
      </c>
      <c r="BP241" s="14" t="s">
        <v>640</v>
      </c>
      <c r="BQ241" s="10" t="str">
        <f t="shared" si="28"/>
        <v>Intervalo</v>
      </c>
      <c r="BR241" s="15">
        <f t="shared" si="29"/>
        <v>0.99999999999999911</v>
      </c>
      <c r="BS241" s="15">
        <f t="shared" si="30"/>
        <v>1</v>
      </c>
      <c r="BT241" s="231" t="str">
        <f t="shared" si="31"/>
        <v>OKOK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>
        <v>0.36527777777777776</v>
      </c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>
        <v>0</v>
      </c>
      <c r="BI244" s="14"/>
      <c r="BJ244" s="14" t="s">
        <v>1745</v>
      </c>
      <c r="BK244" s="14" t="s">
        <v>1746</v>
      </c>
      <c r="BL244" s="13"/>
      <c r="BM244" s="12" t="s">
        <v>1025</v>
      </c>
      <c r="BN244" s="12" t="s">
        <v>1055</v>
      </c>
      <c r="BO244" s="130" t="s">
        <v>1036</v>
      </c>
      <c r="BP244" s="14" t="s">
        <v>1746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1747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>
        <v>0.36805555555555558</v>
      </c>
      <c r="AS247" s="32">
        <v>0</v>
      </c>
      <c r="AT247" s="32">
        <v>0</v>
      </c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>
        <v>0</v>
      </c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>
        <v>0</v>
      </c>
      <c r="BI247" s="14"/>
      <c r="BJ247" s="14" t="s">
        <v>1748</v>
      </c>
      <c r="BK247" s="14" t="s">
        <v>1749</v>
      </c>
      <c r="BL247" s="13"/>
      <c r="BM247" s="12" t="s">
        <v>1025</v>
      </c>
      <c r="BN247" s="12" t="s">
        <v>1055</v>
      </c>
      <c r="BO247" s="130" t="s">
        <v>1117</v>
      </c>
      <c r="BP247" s="14" t="s">
        <v>1749</v>
      </c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>CCOCirculaçãoIntervaloOportunidade</v>
      </c>
    </row>
    <row r="248" spans="1:72" ht="69" hidden="1" customHeight="1">
      <c r="A248" s="44" t="str">
        <f t="shared" si="27"/>
        <v>E1446074</v>
      </c>
      <c r="B248" s="132">
        <v>46074</v>
      </c>
      <c r="C248" s="7">
        <f>IF(BS_CONTROLE[[#This Row],[DATA]]="","",WEEKNUM(BS_CONTROLE[[#This Row],[DATA]]))</f>
        <v>8</v>
      </c>
      <c r="D248" s="45" t="s">
        <v>778</v>
      </c>
      <c r="E248" s="175">
        <v>264</v>
      </c>
      <c r="F248" s="133" t="s">
        <v>736</v>
      </c>
      <c r="G248" s="8" t="str">
        <f>IF(D248="","*",VLOOKUP(F248,BS_ATIVIDADE[#All],3,FALSE))</f>
        <v>MECANIZAÇÃO - ESMERILHADORA</v>
      </c>
      <c r="H248" s="134" t="s">
        <v>565</v>
      </c>
      <c r="I248" s="134" t="s">
        <v>598</v>
      </c>
      <c r="J248" s="150">
        <v>103</v>
      </c>
      <c r="K248" s="150">
        <v>1806</v>
      </c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8" s="134">
        <v>0.99930555555555556</v>
      </c>
      <c r="P248" s="134">
        <v>4.1666666666666664E-2</v>
      </c>
      <c r="Q248" s="71">
        <v>20000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8" s="188" t="str">
        <f>IFERROR(_xlfn.XLOOKUP(J248, BASE_MAPA!$B$2:$B$420, BASE_MAPA!$G$2:$G$420), "ERRO")</f>
        <v>OURO VERDE - LIGAÇÃO</v>
      </c>
      <c r="V248" s="142" t="s">
        <v>1445</v>
      </c>
      <c r="W248" s="220" t="s">
        <v>1727</v>
      </c>
      <c r="X248" s="151" t="s">
        <v>1005</v>
      </c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MECANIZAÇÃO - ESMERILHADORA</v>
      </c>
      <c r="AJ248" s="8" t="str">
        <f>IF(D248="","*",VLOOKUP(AI248,BS_ATIVIDADE[#Data],3,FALSE))</f>
        <v>MECANIZAÇÃO - ESMERILHADORA</v>
      </c>
      <c r="AK248" s="166" t="str">
        <f>IF(BS_CONTROLE[[#This Row],[Local - Partida]]=0, "-", BS_CONTROLE[[#This Row],[Local - Partida]])</f>
        <v>PSG2</v>
      </c>
      <c r="AL248" s="166" t="str">
        <f>IF(BS_CONTROLE[[#This Row],[Local - Encerramento]]=0, "-", BS_CONTROLE[[#This Row],[Local - Encerramento]])</f>
        <v>PSS</v>
      </c>
      <c r="AM248" s="166" t="str">
        <f>IF(BS_CONTROLE[[#This Row],[Entre - Estações]]=0, "-", BS_CONTROLE[[#This Row],[Entre - Estações]])</f>
        <v>PSG</v>
      </c>
      <c r="AN248" s="166" t="str">
        <f>IF(BS_CONTROLE[[#This Row],[SB]]=0, "-", BS_CONTROLE[[#This Row],[SB]])</f>
        <v>PSG1</v>
      </c>
      <c r="AO248" s="167">
        <f>IF(BS_CONTROLE[[#This Row],[SUB]]=0, "-", BS_CONTROLE[[#This Row],[SUB]])</f>
        <v>103</v>
      </c>
      <c r="AP248" s="168">
        <f>IF(BS_CONTROLE[[#This Row],[KM - Inicio]]=0, "-", BS_CONTROLE[[#This Row],[KM - Inicio]])</f>
        <v>1806</v>
      </c>
      <c r="AQ248" s="168" t="str">
        <f>IF(BS_CONTROLE[[#This Row],[KM - Fim]]=0, "-", BS_CONTROLE[[#This Row],[KM - Fim]])</f>
        <v>-</v>
      </c>
      <c r="AR248" s="32">
        <v>0.96736111111111112</v>
      </c>
      <c r="AS248" s="32">
        <v>0</v>
      </c>
      <c r="AT248" s="32">
        <v>6.9444444444444447E-4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6.9444444444444447E-4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8" s="189" t="str">
        <f>IFERROR(_xlfn.XLOOKUP(AO248, BASE_MAPA!$B$2:$B$420, BASE_MAPA!$G$2:$G$420), "ERRO")</f>
        <v>OURO VERDE - LIGAÇÃO</v>
      </c>
      <c r="BF248" s="169" t="str">
        <f>IF(BS_CONTROLE[[#This Row],[Responsavel pelo boletim]]=0, "-", BS_CONTROLE[[#This Row],[Responsavel pelo boletim]])</f>
        <v>Fernanda</v>
      </c>
      <c r="BG248" s="13"/>
      <c r="BH248" s="14">
        <v>0</v>
      </c>
      <c r="BI248" s="14"/>
      <c r="BJ248" s="14" t="s">
        <v>1750</v>
      </c>
      <c r="BK248" s="14" t="s">
        <v>1751</v>
      </c>
      <c r="BL248" s="13"/>
      <c r="BM248" s="12" t="s">
        <v>1022</v>
      </c>
      <c r="BN248" s="12" t="s">
        <v>1043</v>
      </c>
      <c r="BO248" s="130" t="s">
        <v>1161</v>
      </c>
      <c r="BP248" s="14" t="s">
        <v>1751</v>
      </c>
      <c r="BQ248" s="10" t="str">
        <f t="shared" si="28"/>
        <v>Produção e Intervalo</v>
      </c>
      <c r="BR248" s="15">
        <f t="shared" si="29"/>
        <v>1.666666666666667E-2</v>
      </c>
      <c r="BS248" s="15">
        <f t="shared" si="30"/>
        <v>0</v>
      </c>
      <c r="BT248" s="231" t="str">
        <f t="shared" si="31"/>
        <v>MecanizaçãoOperação</v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>
        <v>0</v>
      </c>
      <c r="BI253" s="14"/>
      <c r="BJ253" s="14" t="s">
        <v>1752</v>
      </c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>
        <v>0</v>
      </c>
      <c r="BI256" s="14"/>
      <c r="BJ256" s="14" t="s">
        <v>1752</v>
      </c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>
      <c r="A257" s="44" t="str">
        <f t="shared" si="27"/>
        <v>E1446075</v>
      </c>
      <c r="B257" s="132">
        <v>46075</v>
      </c>
      <c r="C257" s="7">
        <f>IF(BS_CONTROLE[[#This Row],[DATA]]="","",WEEKNUM(BS_CONTROLE[[#This Row],[DATA]]))</f>
        <v>9</v>
      </c>
      <c r="D257" s="45" t="s">
        <v>778</v>
      </c>
      <c r="E257" s="175">
        <v>264</v>
      </c>
      <c r="F257" s="133" t="s">
        <v>736</v>
      </c>
      <c r="G257" s="8" t="str">
        <f>IF(D257="","*",VLOOKUP(F257,BS_ATIVIDADE[#All],3,FALSE))</f>
        <v>MECANIZAÇÃO - ESMERILHADORA</v>
      </c>
      <c r="H257" s="134" t="s">
        <v>598</v>
      </c>
      <c r="I257" s="134" t="s">
        <v>598</v>
      </c>
      <c r="J257" s="150">
        <v>103</v>
      </c>
      <c r="K257" s="150">
        <v>1935</v>
      </c>
      <c r="L257" s="71">
        <v>1965</v>
      </c>
      <c r="M257" s="148" t="s">
        <v>588</v>
      </c>
      <c r="N257" s="148" t="s">
        <v>1753</v>
      </c>
      <c r="O257" s="134">
        <v>0.95833333333333337</v>
      </c>
      <c r="P257" s="134">
        <v>4.1666666666666664E-2</v>
      </c>
      <c r="Q257" s="71">
        <v>2000</v>
      </c>
      <c r="R257" s="9" t="str">
        <f>IFERROR(_xlfn.XLOOKUP(F257, BS_ATIVIDADE[ATIVIDADE],BS_ATIVIDADE[UNIDADE] ), "*")</f>
        <v>M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7" s="188" t="str">
        <f>IFERROR(_xlfn.XLOOKUP(J257, BASE_MAPA!$B$2:$B$420, BASE_MAPA!$G$2:$G$420), "ERRO")</f>
        <v>OURO VERDE - LIGAÇÃO</v>
      </c>
      <c r="V257" s="142" t="s">
        <v>1445</v>
      </c>
      <c r="W257" s="134" t="s">
        <v>1754</v>
      </c>
      <c r="X257" s="151" t="s">
        <v>1005</v>
      </c>
      <c r="Y257" s="129"/>
      <c r="Z257" s="129"/>
      <c r="AA257" s="71">
        <v>1</v>
      </c>
      <c r="AB257" s="59" t="s">
        <v>997</v>
      </c>
      <c r="AC257" s="59"/>
      <c r="AD257" s="134">
        <v>0.95833333333333337</v>
      </c>
      <c r="AE257" s="71"/>
      <c r="AF257" s="71"/>
      <c r="AG257" s="71"/>
      <c r="AH257" s="42"/>
      <c r="AI257" s="119" t="str">
        <f>IF(BS_CONTROLE[[#This Row],[Atividade]]=0, "-", BS_CONTROLE[[#This Row],[Atividade]])</f>
        <v>MECANIZAÇÃO - ESMERILHADORA</v>
      </c>
      <c r="AJ257" s="8" t="str">
        <f>IF(D257="","*",VLOOKUP(AI257,BS_ATIVIDADE[#Data],3,FALSE))</f>
        <v>MECANIZAÇÃO - ESMERILHADORA</v>
      </c>
      <c r="AK257" s="166" t="str">
        <f>IF(BS_CONTROLE[[#This Row],[Local - Partida]]=0, "-", BS_CONTROLE[[#This Row],[Local - Partida]])</f>
        <v>PSS</v>
      </c>
      <c r="AL257" s="166" t="str">
        <f>IF(BS_CONTROLE[[#This Row],[Local - Encerramento]]=0, "-", BS_CONTROLE[[#This Row],[Local - Encerramento]])</f>
        <v>PSS</v>
      </c>
      <c r="AM257" s="166" t="str">
        <f>IF(BS_CONTROLE[[#This Row],[Entre - Estações]]=0, "-", BS_CONTROLE[[#This Row],[Entre - Estações]])</f>
        <v>PQI-PPR</v>
      </c>
      <c r="AN257" s="166" t="str">
        <f>IF(BS_CONTROLE[[#This Row],[SB]]=0, "-", BS_CONTROLE[[#This Row],[SB]])</f>
        <v>PQIPPR</v>
      </c>
      <c r="AO257" s="167">
        <f>IF(BS_CONTROLE[[#This Row],[SUB]]=0, "-", BS_CONTROLE[[#This Row],[SUB]])</f>
        <v>103</v>
      </c>
      <c r="AP257" s="168">
        <f>IF(BS_CONTROLE[[#This Row],[KM - Inicio]]=0, "-", BS_CONTROLE[[#This Row],[KM - Inicio]])</f>
        <v>1935</v>
      </c>
      <c r="AQ257" s="168">
        <f>IF(BS_CONTROLE[[#This Row],[KM - Fim]]=0, "-", BS_CONTROLE[[#This Row],[KM - Fim]])</f>
        <v>1965</v>
      </c>
      <c r="AR257" s="32"/>
      <c r="AS257" s="32"/>
      <c r="AT257" s="32"/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0</v>
      </c>
      <c r="AZ257" s="11"/>
      <c r="BA257" s="60"/>
      <c r="BB257" s="9" t="str">
        <f>IFERROR(_xlfn.XLOOKUP(AI257, BS_ATIVIDADE[ATIVIDADE],BS_ATIVIDADE[UNIDADE] ), "*")</f>
        <v>M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7" s="189" t="str">
        <f>IFERROR(_xlfn.XLOOKUP(AO257, BASE_MAPA!$B$2:$B$420, BASE_MAPA!$G$2:$G$420), "ERRO")</f>
        <v>OURO VERDE - LIGAÇÃO</v>
      </c>
      <c r="BF257" s="169" t="str">
        <f>IF(BS_CONTROLE[[#This Row],[Responsavel pelo boletim]]=0, "-", BS_CONTROLE[[#This Row],[Responsavel pelo boletim]])</f>
        <v>Fernanda</v>
      </c>
      <c r="BG257" s="13"/>
      <c r="BH257" s="14"/>
      <c r="BI257" s="14"/>
      <c r="BJ257" s="14" t="s">
        <v>1755</v>
      </c>
      <c r="BK257" s="14"/>
      <c r="BL257" s="13"/>
      <c r="BM257" s="12"/>
      <c r="BN257" s="12"/>
      <c r="BO257" s="130"/>
      <c r="BP257" s="14"/>
      <c r="BQ257" s="10" t="str">
        <f t="shared" si="28"/>
        <v>Produção e Intervalo</v>
      </c>
      <c r="BR257" s="15">
        <f t="shared" si="29"/>
        <v>0</v>
      </c>
      <c r="BS257" s="15">
        <f t="shared" si="30"/>
        <v>0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>
        <v>74</v>
      </c>
      <c r="K263" s="150">
        <v>335.35899999999998</v>
      </c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3" s="188" t="str">
        <f>IFERROR(_xlfn.XLOOKUP(J263, BASE_MAPA!$B$2:$B$420, BASE_MAPA!$G$2:$G$420), "ERRO")</f>
        <v>MARCO INICIAL - ALTO ARAGUAIA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TLA</v>
      </c>
      <c r="AN263" s="166" t="str">
        <f>IF(BS_CONTROLE[[#This Row],[SB]]=0, "-", BS_CONTROLE[[#This Row],[SB]])</f>
        <v>TLA1</v>
      </c>
      <c r="AO263" s="167">
        <f>IF(BS_CONTROLE[[#This Row],[SUB]]=0, "-", BS_CONTROLE[[#This Row],[SUB]])</f>
        <v>74</v>
      </c>
      <c r="AP263" s="168">
        <f>IF(BS_CONTROLE[[#This Row],[KM - Inicio]]=0, "-", BS_CONTROLE[[#This Row],[KM - Inicio]])</f>
        <v>335.35899999999998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3" s="189" t="str">
        <f>IFERROR(_xlfn.XLOOKUP(AO263, BASE_MAPA!$B$2:$B$420, BASE_MAPA!$G$2:$G$420), "ERRO")</f>
        <v>MARCO INICIAL - ALTO ARAGUAIA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546.24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64" s="134">
        <v>0.375</v>
      </c>
      <c r="P264" s="134">
        <v>6.25E-2</v>
      </c>
      <c r="Q264" s="71">
        <v>1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TBE-TRM</v>
      </c>
      <c r="AN264" s="166" t="str">
        <f>IF(BS_CONTROLE[[#This Row],[SB]]=0, "-", BS_CONTROLE[[#This Row],[SB]])</f>
        <v>539TRM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546.24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>W70</v>
      </c>
      <c r="B265" s="132"/>
      <c r="C265" s="7" t="str">
        <f>IF(BS_CONTROLE[[#This Row],[DATA]]="","",WEEKNUM(BS_CONTROLE[[#This Row],[DATA]]))</f>
        <v/>
      </c>
      <c r="D265" s="45" t="s">
        <v>878</v>
      </c>
      <c r="E265" s="175">
        <v>304</v>
      </c>
      <c r="F265" s="133" t="s">
        <v>654</v>
      </c>
      <c r="G265" s="8" t="str">
        <f>IF(D265="","*",VLOOKUP(F265,BS_ATIVIDADE[#All],3,FALSE))</f>
        <v>OUTROS</v>
      </c>
      <c r="H265" s="134" t="s">
        <v>1293</v>
      </c>
      <c r="I265" s="134" t="s">
        <v>177</v>
      </c>
      <c r="J265" s="150">
        <v>74</v>
      </c>
      <c r="K265" s="150">
        <v>500</v>
      </c>
      <c r="L265" s="71" t="s">
        <v>640</v>
      </c>
      <c r="M265" s="148" t="s">
        <v>1756</v>
      </c>
      <c r="N265" s="148" t="s">
        <v>1757</v>
      </c>
      <c r="O265" s="134">
        <v>0.4375</v>
      </c>
      <c r="P265" s="134">
        <v>4.1666666666666664E-2</v>
      </c>
      <c r="Q265" s="71">
        <v>1</v>
      </c>
      <c r="R265" s="9" t="str">
        <f>IFERROR(_xlfn.XLOOKUP(F265, BS_ATIVIDADE[ATIVIDADE],BS_ATIVIDADE[UNIDADE] ), "*")</f>
        <v>BINÁRIO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188" t="str">
        <f>IFERROR(_xlfn.XLOOKUP(J265, BASE_MAPA!$B$2:$B$420, BASE_MAPA!$G$2:$G$420), "ERRO")</f>
        <v>MARCO INICIAL - ALTO ARAGUAIA</v>
      </c>
      <c r="V265" s="142" t="s">
        <v>1566</v>
      </c>
      <c r="W265" s="220" t="s">
        <v>1758</v>
      </c>
      <c r="X265" s="151" t="s">
        <v>1005</v>
      </c>
      <c r="Y265" s="129"/>
      <c r="Z265" s="129"/>
      <c r="AA265" s="71" t="s">
        <v>1266</v>
      </c>
      <c r="AB265" s="59" t="s">
        <v>997</v>
      </c>
      <c r="AC265" s="59"/>
      <c r="AD265" s="134">
        <v>0.29166666666666669</v>
      </c>
      <c r="AE265" s="71" t="s">
        <v>1533</v>
      </c>
      <c r="AF265" s="71">
        <v>9292</v>
      </c>
      <c r="AG265" s="71"/>
      <c r="AH265" s="42"/>
      <c r="AI265" s="119" t="str">
        <f>IF(BS_CONTROLE[[#This Row],[Atividade]]=0, "-", BS_CONTROLE[[#This Row],[Atividade]])</f>
        <v>DESLOCAMENTO</v>
      </c>
      <c r="AJ265" s="8" t="str">
        <f>IF(D265="","*",VLOOKUP(AI265,BS_ATIVIDADE[#Data],3,FALSE))</f>
        <v>OUTROS</v>
      </c>
      <c r="AK265" s="166" t="str">
        <f>IF(BS_CONTROLE[[#This Row],[Local - Partida]]=0, "-", BS_CONTROLE[[#This Row],[Local - Partida]])</f>
        <v>TAG</v>
      </c>
      <c r="AL265" s="166" t="str">
        <f>IF(BS_CONTROLE[[#This Row],[Local - Encerramento]]=0, "-", BS_CONTROLE[[#This Row],[Local - Encerramento]])</f>
        <v>TOM</v>
      </c>
      <c r="AM265" s="166" t="str">
        <f>IF(BS_CONTROLE[[#This Row],[Entre - Estações]]=0, "-", BS_CONTROLE[[#This Row],[Entre - Estações]])</f>
        <v>TAG-TOM</v>
      </c>
      <c r="AN265" s="166" t="str">
        <f>IF(BS_CONTROLE[[#This Row],[SB]]=0, "-", BS_CONTROLE[[#This Row],[SB]])</f>
        <v>TAGTOM</v>
      </c>
      <c r="AO265" s="167">
        <f>IF(BS_CONTROLE[[#This Row],[SUB]]=0, "-", BS_CONTROLE[[#This Row],[SUB]])</f>
        <v>74</v>
      </c>
      <c r="AP265" s="168">
        <f>IF(BS_CONTROLE[[#This Row],[KM - Inicio]]=0, "-", BS_CONTROLE[[#This Row],[KM - Inicio]])</f>
        <v>500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>
        <f>IF(D265="","*",IFERROR(IF(ISODD(COUNT(AS265:AX265)),"ERRO",SUM((AT265-AS265),(AV265-AU265),(AX265-AW265))),"ERRO"))</f>
        <v>0</v>
      </c>
      <c r="AZ265" s="11"/>
      <c r="BA265" s="60"/>
      <c r="BB265" s="9" t="str">
        <f>IFERROR(_xlfn.XLOOKUP(AI265, BS_ATIVIDADE[ATIVIDADE],BS_ATIVIDADE[UNIDADE] ), "*")</f>
        <v>BINÁRIO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89" t="str">
        <f>IFERROR(_xlfn.XLOOKUP(AO265, BASE_MAPA!$B$2:$B$420, BASE_MAPA!$G$2:$G$420), "ERRO")</f>
        <v>MARCO INICIAL - ALTO ARAGUAIA</v>
      </c>
      <c r="BF265" s="169" t="str">
        <f>IF(BS_CONTROLE[[#This Row],[Responsavel pelo boletim]]=0, "-", BS_CONTROLE[[#This Row],[Responsavel pelo boletim]])</f>
        <v>Elton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ELSON46076</v>
      </c>
      <c r="B266" s="132">
        <v>46076</v>
      </c>
      <c r="C266" s="7">
        <f>IF(BS_CONTROLE[[#This Row],[DATA]]="","",WEEKNUM(BS_CONTROLE[[#This Row],[DATA]]))</f>
        <v>9</v>
      </c>
      <c r="D266" s="45" t="s">
        <v>1681</v>
      </c>
      <c r="E266" s="175">
        <v>274</v>
      </c>
      <c r="F266" s="133" t="s">
        <v>822</v>
      </c>
      <c r="G266" s="8" t="str">
        <f>IF(D266="","*",VLOOKUP(F266,BS_ATIVIDADE[#All],3,FALSE))</f>
        <v>SOLDA</v>
      </c>
      <c r="H266" s="134" t="s">
        <v>640</v>
      </c>
      <c r="I266" s="134" t="s">
        <v>640</v>
      </c>
      <c r="J266" s="150">
        <v>74</v>
      </c>
      <c r="K266" s="150">
        <v>335.35899999999998</v>
      </c>
      <c r="L266" s="71" t="s">
        <v>640</v>
      </c>
      <c r="M266" s="148" t="s">
        <v>1759</v>
      </c>
      <c r="N266" s="148" t="s">
        <v>1760</v>
      </c>
      <c r="O266" s="134">
        <v>0.4375</v>
      </c>
      <c r="P266" s="134">
        <v>8.3333333333333329E-2</v>
      </c>
      <c r="Q266" s="71">
        <v>1</v>
      </c>
      <c r="R266" s="9" t="str">
        <f>IFERROR(_xlfn.XLOOKUP(F266, BS_ATIVIDADE[ATIVIDADE],BS_ATIVIDADE[UNIDADE] ), "*")</f>
        <v>Nº DE SOLDA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1290</v>
      </c>
      <c r="W266" s="220" t="s">
        <v>1761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SOLDA</v>
      </c>
      <c r="AJ266" s="8" t="str">
        <f>IF(D266="","*",VLOOKUP(AI266,BS_ATIVIDADE[#Data],3,FALSE))</f>
        <v>SOLDA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TLA-S</v>
      </c>
      <c r="AN266" s="166" t="str">
        <f>IF(BS_CONTROLE[[#This Row],[SB]]=0, "-", BS_CONTROLE[[#This Row],[SB]])</f>
        <v>TLAS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335.35899999999998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Nº DE SOLDA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Elson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 t="s">
        <v>1000</v>
      </c>
      <c r="Y267" s="129"/>
      <c r="Z267" s="129"/>
      <c r="AA267" s="71">
        <v>1</v>
      </c>
      <c r="AB267" s="59" t="s">
        <v>997</v>
      </c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239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 t="str">
        <f>IF(BS_CONTROLE[[#This Row],[SB]]=0, "-", BS_CONTROLE[[#This Row],[SB]])</f>
        <v>TVI239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239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1762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242.202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4.1666666666666664E-2</v>
      </c>
      <c r="Q271" s="71">
        <v>8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1763</v>
      </c>
      <c r="W271" s="134" t="s">
        <v>1302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Adenilson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 t="s">
        <v>23</v>
      </c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1742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TAP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1764</v>
      </c>
      <c r="X276" s="151" t="s">
        <v>1005</v>
      </c>
      <c r="Y276" s="129"/>
      <c r="Z276" s="129"/>
      <c r="AA276" s="71" t="s">
        <v>1765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>V53</v>
      </c>
      <c r="B279" s="132"/>
      <c r="C279" s="7" t="str">
        <f>IF(BS_CONTROLE[[#This Row],[DATA]]="","",WEEKNUM(BS_CONTROLE[[#This Row],[DATA]]))</f>
        <v/>
      </c>
      <c r="D279" s="45" t="s">
        <v>1766</v>
      </c>
      <c r="E279" s="175">
        <v>317</v>
      </c>
      <c r="F279" s="133" t="s">
        <v>654</v>
      </c>
      <c r="G279" s="8" t="str">
        <f>IF(D279="","*",VLOOKUP(F279,BS_ATIVIDADE[#All],3,FALSE))</f>
        <v>OUTROS</v>
      </c>
      <c r="H279" s="134" t="s">
        <v>319</v>
      </c>
      <c r="I279" s="134" t="s">
        <v>1767</v>
      </c>
      <c r="J279" s="150">
        <v>72</v>
      </c>
      <c r="K279" s="150">
        <v>320</v>
      </c>
      <c r="L279" s="71" t="s">
        <v>640</v>
      </c>
      <c r="M279" s="148" t="s">
        <v>1768</v>
      </c>
      <c r="N279" s="148" t="s">
        <v>1769</v>
      </c>
      <c r="O279" s="134">
        <v>0.33333333333333331</v>
      </c>
      <c r="P279" s="134">
        <v>4.1666666666666664E-2</v>
      </c>
      <c r="Q279" s="71">
        <v>1</v>
      </c>
      <c r="R279" s="9" t="str">
        <f>IFERROR(_xlfn.XLOOKUP(F279, BS_ATIVIDADE[ATIVIDADE],BS_ATIVIDADE[UNIDADE] ), "*")</f>
        <v>BINÁRIO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188" t="str">
        <f>IFERROR(_xlfn.XLOOKUP(J279, BASE_MAPA!$B$2:$B$420, BASE_MAPA!$G$2:$G$420), "ERRO")</f>
        <v>ARARAQUARA - COLOMBIA</v>
      </c>
      <c r="V279" s="142" t="s">
        <v>1630</v>
      </c>
      <c r="W279" s="134" t="s">
        <v>1446</v>
      </c>
      <c r="X279" s="151" t="s">
        <v>1005</v>
      </c>
      <c r="Y279" s="129"/>
      <c r="Z279" s="129"/>
      <c r="AA279" s="71">
        <v>1</v>
      </c>
      <c r="AB279" s="59" t="s">
        <v>997</v>
      </c>
      <c r="AC279" s="59"/>
      <c r="AD279" s="134">
        <v>0.29166666666666669</v>
      </c>
      <c r="AE279" s="71">
        <v>6253</v>
      </c>
      <c r="AF279" s="71" t="s">
        <v>640</v>
      </c>
      <c r="AG279" s="71"/>
      <c r="AH279" s="42"/>
      <c r="AI279" s="119" t="str">
        <f>IF(BS_CONTROLE[[#This Row],[Atividade]]=0, "-", BS_CONTROLE[[#This Row],[Atividade]])</f>
        <v>DESLOCAMENTO</v>
      </c>
      <c r="AJ279" s="8" t="str">
        <f>IF(D279="","*",VLOOKUP(AI279,BS_ATIVIDADE[#Data],3,FALSE))</f>
        <v>OUTROS</v>
      </c>
      <c r="AK279" s="166" t="str">
        <f>IF(BS_CONTROLE[[#This Row],[Local - Partida]]=0, "-", BS_CONTROLE[[#This Row],[Local - Partida]])</f>
        <v>ZXE</v>
      </c>
      <c r="AL279" s="166" t="str">
        <f>IF(BS_CONTROLE[[#This Row],[Local - Encerramento]]=0, "-", BS_CONTROLE[[#This Row],[Local - Encerramento]])</f>
        <v>ZTO</v>
      </c>
      <c r="AM279" s="166" t="str">
        <f>IF(BS_CONTROLE[[#This Row],[Entre - Estações]]=0, "-", BS_CONTROLE[[#This Row],[Entre - Estações]])</f>
        <v>ZXE-ZTO</v>
      </c>
      <c r="AN279" s="166" t="str">
        <f>IF(BS_CONTROLE[[#This Row],[SB]]=0, "-", BS_CONTROLE[[#This Row],[SB]])</f>
        <v>ZXEZTO</v>
      </c>
      <c r="AO279" s="167">
        <f>IF(BS_CONTROLE[[#This Row],[SUB]]=0, "-", BS_CONTROLE[[#This Row],[SUB]])</f>
        <v>72</v>
      </c>
      <c r="AP279" s="168">
        <f>IF(BS_CONTROLE[[#This Row],[KM - Inicio]]=0, "-", BS_CONTROLE[[#This Row],[KM - Inicio]])</f>
        <v>320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>
        <f>IF(D279="","*",IFERROR(IF(ISODD(COUNT(AS279:AX279)),"ERRO",SUM((AT279-AS279),(AV279-AU279),(AX279-AW279))),"ERRO"))</f>
        <v>0</v>
      </c>
      <c r="AZ279" s="11"/>
      <c r="BA279" s="60"/>
      <c r="BB279" s="9" t="str">
        <f>IFERROR(_xlfn.XLOOKUP(AI279, BS_ATIVIDADE[ATIVIDADE],BS_ATIVIDADE[UNIDADE] ), "*")</f>
        <v>BINÁRIO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89" t="str">
        <f>IFERROR(_xlfn.XLOOKUP(AO279, BASE_MAPA!$B$2:$B$420, BASE_MAPA!$G$2:$G$420), "ERRO")</f>
        <v>ARARAQUARA - COLOMBIA</v>
      </c>
      <c r="BF279" s="169" t="str">
        <f>IF(BS_CONTROLE[[#This Row],[Responsavel pelo boletim]]=0, "-", BS_CONTROLE[[#This Row],[Responsavel pelo boletim]])</f>
        <v>Higor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3" operator="equal">
      <formula>"ERRO"</formula>
    </cfRule>
  </conditionalFormatting>
  <conditionalFormatting sqref="X4 Y1:Z4 Y8:Z757">
    <cfRule type="cellIs" dxfId="125" priority="18512" operator="equal">
      <formula>"OPORTUNIDADE"</formula>
    </cfRule>
  </conditionalFormatting>
  <conditionalFormatting sqref="AZ6:AZ757">
    <cfRule type="expression" dxfId="124" priority="18507">
      <formula>$BU6=1</formula>
    </cfRule>
  </conditionalFormatting>
  <conditionalFormatting sqref="BQ6:BQ757">
    <cfRule type="cellIs" dxfId="123" priority="18518" operator="equal">
      <formula>"Produção e Intervalo"</formula>
    </cfRule>
    <cfRule type="cellIs" dxfId="122" priority="18519" operator="equal">
      <formula>"Aderente"</formula>
    </cfRule>
    <cfRule type="cellIs" dxfId="121" priority="18520" operator="equal">
      <formula>"Intervalo"</formula>
    </cfRule>
    <cfRule type="cellIs" dxfId="120" priority="18521" operator="equal">
      <formula>"Produção"</formula>
    </cfRule>
    <cfRule type="cellIs" dxfId="119" priority="18522" operator="equal">
      <formula>"ERRO"</formula>
    </cfRule>
  </conditionalFormatting>
  <conditionalFormatting sqref="BR6:BS757">
    <cfRule type="cellIs" dxfId="118" priority="18500" operator="equal">
      <formula>"*"</formula>
    </cfRule>
    <cfRule type="cellIs" dxfId="117" priority="18501" operator="greaterThanOrEqual">
      <formula>1</formula>
    </cfRule>
    <cfRule type="cellIs" dxfId="116" priority="18502" operator="lessThan">
      <formula>1</formula>
    </cfRule>
  </conditionalFormatting>
  <conditionalFormatting sqref="Y8:Z757">
    <cfRule type="cellIs" dxfId="115" priority="18448" operator="equal">
      <formula>"NÃO"</formula>
    </cfRule>
    <cfRule type="cellIs" dxfId="114" priority="18449" operator="equal">
      <formula>"SIM"</formula>
    </cfRule>
  </conditionalFormatting>
  <conditionalFormatting sqref="Y1047820:Y1048576">
    <cfRule type="cellIs" dxfId="113" priority="18329" operator="equal">
      <formula>"OPORTUNIDADE"</formula>
    </cfRule>
  </conditionalFormatting>
  <conditionalFormatting sqref="Y1047820:Y1048576">
    <cfRule type="cellIs" dxfId="112" priority="18327" operator="equal">
      <formula>"NÃO"</formula>
    </cfRule>
    <cfRule type="cellIs" dxfId="111" priority="18328" operator="equal">
      <formula>"SIM"</formula>
    </cfRule>
  </conditionalFormatting>
  <conditionalFormatting sqref="Y6:Y7">
    <cfRule type="cellIs" dxfId="110" priority="49" operator="equal">
      <formula>"OPORTUNIDADE"</formula>
    </cfRule>
  </conditionalFormatting>
  <conditionalFormatting sqref="Y6:Y7">
    <cfRule type="cellIs" dxfId="109" priority="47" operator="equal">
      <formula>"NÃO"</formula>
    </cfRule>
    <cfRule type="cellIs" dxfId="108" priority="48" operator="equal">
      <formula>"SIM"</formula>
    </cfRule>
  </conditionalFormatting>
  <conditionalFormatting sqref="BK1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2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757"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4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6">
      <iconSet showValue="0">
        <cfvo type="percent" val="0"/>
        <cfvo type="num" val="1"/>
        <cfvo type="num" val="1" gte="0"/>
      </iconSet>
    </cfRule>
    <cfRule type="iconSet" priority="25857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2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1770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1771</v>
      </c>
      <c r="E3" s="176" t="s">
        <v>1772</v>
      </c>
      <c r="F3" s="176" t="s">
        <v>1773</v>
      </c>
      <c r="G3" s="176" t="s">
        <v>1774</v>
      </c>
      <c r="H3" s="176" t="s">
        <v>1775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1776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1777</v>
      </c>
      <c r="D12" s="177">
        <v>9049</v>
      </c>
      <c r="E12" s="178">
        <v>46044</v>
      </c>
      <c r="F12" s="180" t="s">
        <v>1778</v>
      </c>
      <c r="G12" s="177" t="s">
        <v>1779</v>
      </c>
      <c r="H12" s="177"/>
    </row>
    <row r="13" spans="3:8">
      <c r="C13" s="177" t="s">
        <v>1777</v>
      </c>
      <c r="D13" s="177">
        <v>9044</v>
      </c>
      <c r="E13" s="178">
        <v>46044</v>
      </c>
      <c r="F13" s="180" t="s">
        <v>1780</v>
      </c>
      <c r="G13" s="177" t="s">
        <v>1781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1782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1782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B266" sqref="B266:T283"/>
    </sheetView>
  </sheetViews>
  <sheetFormatPr defaultRowHeight="15"/>
  <cols>
    <col min="1" max="1" width="14.7109375" customWidth="1"/>
    <col min="2" max="2" width="18.28515625" customWidth="1"/>
    <col min="3" max="3" width="14.5703125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1783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1784</v>
      </c>
      <c r="B3" s="91" t="s">
        <v>1785</v>
      </c>
      <c r="C3" s="91" t="s">
        <v>636</v>
      </c>
      <c r="D3" s="92" t="s">
        <v>1212</v>
      </c>
      <c r="E3" s="92" t="s">
        <v>4</v>
      </c>
      <c r="F3" s="92" t="s">
        <v>1786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1787</v>
      </c>
      <c r="T3" s="94" t="s">
        <v>1215</v>
      </c>
      <c r="U3" s="90">
        <f ca="1">TODAY()-1</f>
        <v>46074</v>
      </c>
      <c r="V3" s="90">
        <f ca="1">U3-1</f>
        <v>46073</v>
      </c>
      <c r="W3" s="90">
        <f ca="1">V3-1</f>
        <v>46072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20</v>
      </c>
      <c r="V4" s="98">
        <f ca="1">_xlfn.XLOOKUP(G4&amp;$V$3,BS_CONTROLE[CHAVE],BS_CONTROLE[Quantidade_11],"-")</f>
        <v>16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2700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20</v>
      </c>
      <c r="V8" s="98">
        <f ca="1">_xlfn.XLOOKUP(G8&amp;$V$3,BS_CONTROLE[CHAVE],BS_CONTROLE[Quantidade_11],"-")</f>
        <v>16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0</v>
      </c>
      <c r="W9" s="98">
        <f ca="1">_xlfn.XLOOKUP(G9&amp;$W$3,BS_CONTROLE[CHAVE],BS_CONTROLE[Quantidade_11],"-")</f>
        <v>0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2700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20</v>
      </c>
      <c r="V16" s="98">
        <f ca="1">_xlfn.XLOOKUP(G16&amp;$V$3,BS_CONTROLE[CHAVE],BS_CONTROLE[Quantidade_11],"-")</f>
        <v>16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0</v>
      </c>
      <c r="W17" s="98">
        <f ca="1">_xlfn.XLOOKUP(G17&amp;$W$3,BS_CONTROLE[CHAVE],BS_CONTROLE[Quantidade_11],"-")</f>
        <v>0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100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2700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20</v>
      </c>
      <c r="V29" s="98">
        <f ca="1">_xlfn.XLOOKUP(G29&amp;$V$3,BS_CONTROLE[CHAVE],BS_CONTROLE[Quantidade_11],"-")</f>
        <v>16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100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>
        <f ca="1">_xlfn.XLOOKUP(G35&amp;$V$3,BS_CONTROLE[CHAVE],BS_CONTROLE[Quantidade_11],"-")</f>
        <v>63</v>
      </c>
      <c r="W35" s="98">
        <f ca="1">_xlfn.XLOOKUP(G35&amp;$W$3,BS_CONTROLE[CHAVE],BS_CONTROLE[Quantidade_11],"-")</f>
        <v>116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9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2700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20</v>
      </c>
      <c r="V43" s="98">
        <f ca="1">_xlfn.XLOOKUP(G43&amp;$V$3,BS_CONTROLE[CHAVE],BS_CONTROLE[Quantidade_11],"-")</f>
        <v>16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100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>
        <f ca="1">_xlfn.XLOOKUP(G48&amp;$V$3,BS_CONTROLE[CHAVE],BS_CONTROLE[Quantidade_11],"-")</f>
        <v>63</v>
      </c>
      <c r="W48" s="98">
        <f ca="1">_xlfn.XLOOKUP(G48&amp;$W$3,BS_CONTROLE[CHAVE],BS_CONTROLE[Quantidade_11],"-")</f>
        <v>116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2700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20</v>
      </c>
      <c r="V54" s="98">
        <f ca="1">_xlfn.XLOOKUP(G54&amp;$V$3,BS_CONTROLE[CHAVE],BS_CONTROLE[Quantidade_11],"-")</f>
        <v>16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>
        <f ca="1">_xlfn.XLOOKUP(G57&amp;$V$3,BS_CONTROLE[CHAVE],BS_CONTROLE[Quantidade_11],"-")</f>
        <v>63</v>
      </c>
      <c r="W57" s="98">
        <f ca="1">_xlfn.XLOOKUP(G57&amp;$W$3,BS_CONTROLE[CHAVE],BS_CONTROLE[Quantidade_11],"-")</f>
        <v>116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100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2700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2700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2700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20</v>
      </c>
      <c r="V72" s="98">
        <f ca="1">_xlfn.XLOOKUP(G72&amp;$V$3,BS_CONTROLE[CHAVE],BS_CONTROLE[Quantidade_11],"-")</f>
        <v>16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>
        <f ca="1">_xlfn.XLOOKUP(G75&amp;$V$3,BS_CONTROLE[CHAVE],BS_CONTROLE[Quantidade_11],"-")</f>
        <v>63</v>
      </c>
      <c r="W75" s="98">
        <f ca="1">_xlfn.XLOOKUP(G75&amp;$W$3,BS_CONTROLE[CHAVE],BS_CONTROLE[Quantidade_11],"-")</f>
        <v>116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100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9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2700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20</v>
      </c>
      <c r="V83" s="98">
        <f ca="1">_xlfn.XLOOKUP(G83&amp;$V$3,BS_CONTROLE[CHAVE],BS_CONTROLE[Quantidade_11],"-")</f>
        <v>16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100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>
        <f ca="1">_xlfn.XLOOKUP(G96&amp;$V$3,BS_CONTROLE[CHAVE],BS_CONTROLE[Quantidade_11],"-")</f>
        <v>63</v>
      </c>
      <c r="W96" s="98">
        <f ca="1">_xlfn.XLOOKUP(G96&amp;$W$3,BS_CONTROLE[CHAVE],BS_CONTROLE[Quantidade_11],"-")</f>
        <v>116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2700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>
        <f ca="1">_xlfn.XLOOKUP(G101&amp;$V$3,BS_CONTROLE[CHAVE],BS_CONTROLE[Quantidade_11],"-")</f>
        <v>0</v>
      </c>
      <c r="W101" s="98">
        <f ca="1">_xlfn.XLOOKUP(G101&amp;$W$3,BS_CONTROLE[CHAVE],BS_CONTROLE[Quantidade_11],"-")</f>
        <v>0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0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20</v>
      </c>
      <c r="V103" s="98">
        <f ca="1">_xlfn.XLOOKUP(G103&amp;$V$3,BS_CONTROLE[CHAVE],BS_CONTROLE[Quantidade_11],"-")</f>
        <v>16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>
        <f ca="1">_xlfn.XLOOKUP(G105&amp;$V$3,BS_CONTROLE[CHAVE],BS_CONTROLE[Quantidade_11],"-")</f>
        <v>63</v>
      </c>
      <c r="W105" s="98">
        <f ca="1">_xlfn.XLOOKUP(G105&amp;$W$3,BS_CONTROLE[CHAVE],BS_CONTROLE[Quantidade_11],"-")</f>
        <v>116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100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9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2700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20</v>
      </c>
      <c r="V114" s="98">
        <f ca="1">_xlfn.XLOOKUP(G114&amp;$V$3,BS_CONTROLE[CHAVE],BS_CONTROLE[Quantidade_11],"-")</f>
        <v>16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>
        <f ca="1">_xlfn.XLOOKUP(G118&amp;$V$3,BS_CONTROLE[CHAVE],BS_CONTROLE[Quantidade_11],"-")</f>
        <v>0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>
        <f ca="1">_xlfn.XLOOKUP(G119&amp;$V$3,BS_CONTROLE[CHAVE],BS_CONTROLE[Quantidade_11],"-")</f>
        <v>63</v>
      </c>
      <c r="W119" s="98">
        <f ca="1">_xlfn.XLOOKUP(G119&amp;$W$3,BS_CONTROLE[CHAVE],BS_CONTROLE[Quantidade_11],"-")</f>
        <v>116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100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>
        <f ca="1">_xlfn.XLOOKUP(G122&amp;$V$3,BS_CONTROLE[CHAVE],BS_CONTROLE[Quantidade_11],"-")</f>
        <v>0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2700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20</v>
      </c>
      <c r="V131" s="98">
        <f ca="1">_xlfn.XLOOKUP(G131&amp;$V$3,BS_CONTROLE[CHAVE],BS_CONTROLE[Quantidade_11],"-")</f>
        <v>16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100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0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2700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>
        <f ca="1">_xlfn.XLOOKUP(G143&amp;$V$3,BS_CONTROLE[CHAVE],BS_CONTROLE[Quantidade_11],"-")</f>
        <v>0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20</v>
      </c>
      <c r="V144" s="98">
        <f ca="1">_xlfn.XLOOKUP(G144&amp;$V$3,BS_CONTROLE[CHAVE],BS_CONTROLE[Quantidade_11],"-")</f>
        <v>16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2700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>
        <f ca="1">_xlfn.XLOOKUP(G151&amp;$V$3,BS_CONTROLE[CHAVE],BS_CONTROLE[Quantidade_11],"-")</f>
        <v>0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2700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20</v>
      </c>
      <c r="V153" s="98">
        <f ca="1">_xlfn.XLOOKUP(G153&amp;$V$3,BS_CONTROLE[CHAVE],BS_CONTROLE[Quantidade_11],"-")</f>
        <v>16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63</v>
      </c>
      <c r="W155" s="98">
        <f ca="1">_xlfn.XLOOKUP(G155&amp;$W$3,BS_CONTROLE[CHAVE],BS_CONTROLE[Quantidade_11],"-")</f>
        <v>116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100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415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0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2700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>
        <f ca="1">_xlfn.XLOOKUP(G165&amp;$V$3,BS_CONTROLE[CHAVE],BS_CONTROLE[Quantidade_11],"-")</f>
        <v>0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20</v>
      </c>
      <c r="V168" s="98">
        <f ca="1">_xlfn.XLOOKUP(G168&amp;$V$3,BS_CONTROLE[CHAVE],BS_CONTROLE[Quantidade_11],"-")</f>
        <v>16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100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0</v>
      </c>
      <c r="W171" s="98" t="str">
        <f ca="1">_xlfn.XLOOKUP(G171&amp;$W$3,BS_CONTROLE[CHAVE],BS_CONTROLE[Quantidade_11],"-")</f>
        <v>-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0</v>
      </c>
      <c r="V173" s="98">
        <f ca="1">_xlfn.XLOOKUP(G173&amp;$V$3,BS_CONTROLE[CHAVE],BS_CONTROLE[Quantidade_11],"-")</f>
        <v>0</v>
      </c>
      <c r="W173" s="98">
        <f ca="1">_xlfn.XLOOKUP(G173&amp;$W$3,BS_CONTROLE[CHAVE],BS_CONTROLE[Quantidade_11],"-")</f>
        <v>415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 t="str">
        <f ca="1">_xlfn.XLOOKUP(G174&amp;$U$3,BS_CONTROLE[CHAVE],BS_CONTROLE[Quantidade_11],"-")</f>
        <v>-</v>
      </c>
      <c r="V174" s="98">
        <f ca="1">_xlfn.XLOOKUP(G174&amp;$V$3,BS_CONTROLE[CHAVE],BS_CONTROLE[Quantidade_11],"-")</f>
        <v>63</v>
      </c>
      <c r="W174" s="98">
        <f ca="1">_xlfn.XLOOKUP(G174&amp;$W$3,BS_CONTROLE[CHAVE],BS_CONTROLE[Quantidade_11],"-")</f>
        <v>116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 t="str">
        <f ca="1">_xlfn.XLOOKUP(G177&amp;$U$3,BS_CONTROLE[CHAVE],BS_CONTROLE[Quantidade_11],"-")</f>
        <v>-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2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0</v>
      </c>
      <c r="W178" s="98">
        <f ca="1">_xlfn.XLOOKUP(G178&amp;$W$3,BS_CONTROLE[CHAVE],BS_CONTROLE[Quantidade_11],"-")</f>
        <v>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2700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1</v>
      </c>
      <c r="V183" s="98">
        <f ca="1">_xlfn.XLOOKUP(G183&amp;$V$3,BS_CONTROLE[CHAVE],BS_CONTROLE[Quantidade_11],"-")</f>
        <v>0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20</v>
      </c>
      <c r="V184" s="98">
        <f ca="1">_xlfn.XLOOKUP(G184&amp;$V$3,BS_CONTROLE[CHAVE],BS_CONTROLE[Quantidade_11],"-")</f>
        <v>16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 t="str">
        <f ca="1">_xlfn.XLOOKUP(G186&amp;$U$3,BS_CONTROLE[CHAVE],BS_CONTROLE[Quantidade_11],"-")</f>
        <v>-</v>
      </c>
      <c r="V186" s="98">
        <f ca="1">_xlfn.XLOOKUP(G186&amp;$V$3,BS_CONTROLE[CHAVE],BS_CONTROLE[Quantidade_11],"-")</f>
        <v>63</v>
      </c>
      <c r="W186" s="98">
        <f ca="1">_xlfn.XLOOKUP(G186&amp;$W$3,BS_CONTROLE[CHAVE],BS_CONTROLE[Quantidade_11],"-")</f>
        <v>116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100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0</v>
      </c>
      <c r="W188" s="98">
        <f ca="1">_xlfn.XLOOKUP(G188&amp;$W$3,BS_CONTROLE[CHAVE],BS_CONTROLE[Quantidade_11],"-")</f>
        <v>415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0</v>
      </c>
      <c r="W189" s="98" t="str">
        <f ca="1">_xlfn.XLOOKUP(G189&amp;$W$3,BS_CONTROLE[CHAVE],BS_CONTROLE[Quantidade_11],"-")</f>
        <v>-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 t="str">
        <f ca="1">_xlfn.XLOOKUP(G191&amp;$U$3,BS_CONTROLE[CHAVE],BS_CONTROLE[Quantidade_11],"-")</f>
        <v>-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2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0</v>
      </c>
      <c r="W193" s="98">
        <f ca="1">_xlfn.XLOOKUP(G193&amp;$W$3,BS_CONTROLE[CHAVE],BS_CONTROLE[Quantidade_11],"-")</f>
        <v>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0</v>
      </c>
      <c r="V194" s="98">
        <f ca="1">_xlfn.XLOOKUP(G194&amp;$V$3,BS_CONTROLE[CHAVE],BS_CONTROLE[Quantidade_11],"-")</f>
        <v>1</v>
      </c>
      <c r="W194" s="98">
        <f ca="1">_xlfn.XLOOKUP(G194&amp;$W$3,BS_CONTROLE[CHAVE],BS_CONTROLE[Quantidade_11],"-")</f>
        <v>1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2700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1</v>
      </c>
      <c r="V199" s="98">
        <f ca="1">_xlfn.XLOOKUP(G199&amp;$V$3,BS_CONTROLE[CHAVE],BS_CONTROLE[Quantidade_11],"-")</f>
        <v>0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 t="str">
        <f ca="1">_xlfn.XLOOKUP(G200&amp;$U$3,BS_CONTROLE[CHAVE],BS_CONTROLE[Quantidade_11],"-")</f>
        <v>-</v>
      </c>
      <c r="V200" s="98">
        <f ca="1">_xlfn.XLOOKUP(G200&amp;$V$3,BS_CONTROLE[CHAVE],BS_CONTROLE[Quantidade_11],"-")</f>
        <v>0</v>
      </c>
      <c r="W200" s="98">
        <f ca="1">_xlfn.XLOOKUP(G200&amp;$W$3,BS_CONTROLE[CHAVE],BS_CONTROLE[Quantidade_11],"-")</f>
        <v>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 t="str">
        <f ca="1">_xlfn.XLOOKUP(G201&amp;$U$3,BS_CONTROLE[CHAVE],BS_CONTROLE[Quantidade_11],"-")</f>
        <v>-</v>
      </c>
      <c r="V201" s="98">
        <f ca="1">_xlfn.XLOOKUP(G201&amp;$V$3,BS_CONTROLE[CHAVE],BS_CONTROLE[Quantidade_11],"-")</f>
        <v>63</v>
      </c>
      <c r="W201" s="98">
        <f ca="1">_xlfn.XLOOKUP(G201&amp;$W$3,BS_CONTROLE[CHAVE],BS_CONTROLE[Quantidade_11],"-")</f>
        <v>116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1</v>
      </c>
      <c r="V202" s="98">
        <f ca="1">_xlfn.XLOOKUP(G202&amp;$V$3,BS_CONTROLE[CHAVE],BS_CONTROLE[Quantidade_11],"-")</f>
        <v>1</v>
      </c>
      <c r="W202" s="98">
        <f ca="1">_xlfn.XLOOKUP(G202&amp;$W$3,BS_CONTROLE[CHAVE],BS_CONTROLE[Quantidade_11],"-")</f>
        <v>2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20</v>
      </c>
      <c r="V203" s="98">
        <f ca="1">_xlfn.XLOOKUP(G203&amp;$V$3,BS_CONTROLE[CHAVE],BS_CONTROLE[Quantidade_11],"-")</f>
        <v>16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100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0</v>
      </c>
      <c r="W205" s="98">
        <f ca="1">_xlfn.XLOOKUP(G205&amp;$W$3,BS_CONTROLE[CHAVE],BS_CONTROLE[Quantidade_11],"-")</f>
        <v>415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0</v>
      </c>
      <c r="V208" s="98">
        <f ca="1">_xlfn.XLOOKUP(G208&amp;$V$3,BS_CONTROLE[CHAVE],BS_CONTROLE[Quantidade_11],"-")</f>
        <v>1</v>
      </c>
      <c r="W208" s="98">
        <f ca="1">_xlfn.XLOOKUP(G208&amp;$W$3,BS_CONTROLE[CHAVE],BS_CONTROLE[Quantidade_11],"-")</f>
        <v>1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 t="str">
        <f ca="1">_xlfn.XLOOKUP(G210&amp;$U$3,BS_CONTROLE[CHAVE],BS_CONTROLE[Quantidade_11],"-")</f>
        <v>-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2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 t="str">
        <f ca="1">_xlfn.XLOOKUP(G213&amp;$U$3,BS_CONTROLE[CHAVE],BS_CONTROLE[Quantidade_11],"-")</f>
        <v>-</v>
      </c>
      <c r="V213" s="98">
        <f ca="1">_xlfn.XLOOKUP(G213&amp;$V$3,BS_CONTROLE[CHAVE],BS_CONTROLE[Quantidade_11],"-")</f>
        <v>63</v>
      </c>
      <c r="W213" s="98">
        <f ca="1">_xlfn.XLOOKUP(G213&amp;$W$3,BS_CONTROLE[CHAVE],BS_CONTROLE[Quantidade_11],"-")</f>
        <v>116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2700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1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 t="str">
        <f ca="1">_xlfn.XLOOKUP(G218&amp;$U$3,BS_CONTROLE[CHAVE],BS_CONTROLE[Quantidade_11],"-")</f>
        <v>-</v>
      </c>
      <c r="V218" s="98">
        <f ca="1">_xlfn.XLOOKUP(G218&amp;$V$3,BS_CONTROLE[CHAVE],BS_CONTROLE[Quantidade_11],"-")</f>
        <v>0</v>
      </c>
      <c r="W218" s="98">
        <f ca="1">_xlfn.XLOOKUP(G218&amp;$W$3,BS_CONTROLE[CHAVE],BS_CONTROLE[Quantidade_11],"-")</f>
        <v>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1</v>
      </c>
      <c r="V219" s="98">
        <f ca="1">_xlfn.XLOOKUP(G219&amp;$V$3,BS_CONTROLE[CHAVE],BS_CONTROLE[Quantidade_11],"-")</f>
        <v>1</v>
      </c>
      <c r="W219" s="98">
        <f ca="1">_xlfn.XLOOKUP(G219&amp;$W$3,BS_CONTROLE[CHAVE],BS_CONTROLE[Quantidade_11],"-")</f>
        <v>2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20</v>
      </c>
      <c r="V220" s="98">
        <f ca="1">_xlfn.XLOOKUP(G220&amp;$V$3,BS_CONTROLE[CHAVE],BS_CONTROLE[Quantidade_11],"-")</f>
        <v>16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415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>
        <f ca="1">_xlfn.XLOOKUP(G224&amp;$U$3,BS_CONTROLE[CHAVE],BS_CONTROLE[Quantidade_11],"-")</f>
        <v>0</v>
      </c>
      <c r="V224" s="98">
        <f ca="1">_xlfn.XLOOKUP(G224&amp;$V$3,BS_CONTROLE[CHAVE],BS_CONTROLE[Quantidade_11],"-")</f>
        <v>0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100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0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1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 t="str">
        <f ca="1">_xlfn.XLOOKUP(G232&amp;$U$3,BS_CONTROLE[CHAVE],BS_CONTROLE[Quantidade_11],"-")</f>
        <v>-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2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1</v>
      </c>
      <c r="V238" s="98">
        <f ca="1">_xlfn.XLOOKUP(G238&amp;$V$3,BS_CONTROLE[CHAVE],BS_CONTROLE[Quantidade_11],"-")</f>
        <v>0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0</v>
      </c>
      <c r="V239" s="98">
        <f ca="1">_xlfn.XLOOKUP(G239&amp;$V$3,BS_CONTROLE[CHAVE],BS_CONTROLE[Quantidade_11],"-")</f>
        <v>2700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20</v>
      </c>
      <c r="V240" s="98">
        <f ca="1">_xlfn.XLOOKUP(G240&amp;$V$3,BS_CONTROLE[CHAVE],BS_CONTROLE[Quantidade_11],"-")</f>
        <v>16</v>
      </c>
      <c r="W240" s="98">
        <f ca="1">_xlfn.XLOOKUP(G240&amp;$W$3,BS_CONTROLE[CHAVE],BS_CONTROLE[Quantidade_11],"-")</f>
        <v>0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1</v>
      </c>
      <c r="V241" s="98">
        <f ca="1">_xlfn.XLOOKUP(G241&amp;$V$3,BS_CONTROLE[CHAVE],BS_CONTROLE[Quantidade_11],"-")</f>
        <v>1</v>
      </c>
      <c r="W241" s="98">
        <f ca="1">_xlfn.XLOOKUP(G241&amp;$W$3,BS_CONTROLE[CHAVE],BS_CONTROLE[Quantidade_11],"-")</f>
        <v>2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0</v>
      </c>
      <c r="V243" s="98">
        <f ca="1">_xlfn.XLOOKUP(G243&amp;$V$3,BS_CONTROLE[CHAVE],BS_CONTROLE[Quantidade_11],"-")</f>
        <v>0</v>
      </c>
      <c r="W243" s="98">
        <f ca="1">_xlfn.XLOOKUP(G243&amp;$W$3,BS_CONTROLE[CHAVE],BS_CONTROLE[Quantidade_11],"-")</f>
        <v>415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>
        <f ca="1">_xlfn.XLOOKUP(G244&amp;$U$3,BS_CONTROLE[CHAVE],BS_CONTROLE[Quantidade_11],"-")</f>
        <v>0</v>
      </c>
      <c r="V244" s="98">
        <f ca="1">_xlfn.XLOOKUP(G244&amp;$V$3,BS_CONTROLE[CHAVE],BS_CONTROLE[Quantidade_11],"-")</f>
        <v>0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4.1666666666666664E-2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100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1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0</v>
      </c>
      <c r="V249" s="98">
        <f ca="1">_xlfn.XLOOKUP(G249&amp;$V$3,BS_CONTROLE[CHAVE],BS_CONTROLE[Quantidade_11],"-")</f>
        <v>2</v>
      </c>
      <c r="W249" s="98">
        <f ca="1">_xlfn.XLOOKUP(G249&amp;$W$3,BS_CONTROLE[CHAVE],BS_CONTROLE[Quantidade_11],"-")</f>
        <v>0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0</v>
      </c>
      <c r="V252" s="98">
        <f ca="1">_xlfn.XLOOKUP(G252&amp;$V$3,BS_CONTROLE[CHAVE],BS_CONTROLE[Quantidade_11],"-")</f>
        <v>1</v>
      </c>
      <c r="W252" s="98">
        <f ca="1">_xlfn.XLOOKUP(G252&amp;$W$3,BS_CONTROLE[CHAVE],BS_CONTROLE[Quantidade_11],"-")</f>
        <v>1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Oportunidade</v>
      </c>
      <c r="C253" s="95" t="str">
        <f>IF(FN_MC!Z248="","*",FN_MC!Z248)</f>
        <v>*</v>
      </c>
      <c r="D253" s="96" t="str">
        <f>IF(FN_MC!S248="","*",FN_MC!S248)</f>
        <v>MALHA CENTRAL</v>
      </c>
      <c r="E253" s="96" t="str">
        <f>IF(FN_MC!T248="","*",FN_MC!T248)</f>
        <v>POV-PRV</v>
      </c>
      <c r="F253" s="96">
        <f>IF(FN_MC!B248="","*",FN_MC!B248)</f>
        <v>46074</v>
      </c>
      <c r="G253" s="96" t="str">
        <f>IF(FN_MC!D248="","*",FN_MC!D248)</f>
        <v>E14</v>
      </c>
      <c r="H253" s="96" t="str">
        <f>IF(FN_MC!F248="","*",FN_MC!F248)</f>
        <v>MECANIZAÇÃO - ESMERILHADORA</v>
      </c>
      <c r="I253" s="96" t="str">
        <f>IF(FN_MC!H248="","*",FN_MC!H248)</f>
        <v>PSG2</v>
      </c>
      <c r="J253" s="96" t="str">
        <f>IF(FN_MC!I248="","*",FN_MC!I248)</f>
        <v>PSS</v>
      </c>
      <c r="K253" s="96" t="str">
        <f>IF(FN_MC!M248="","*",FN_MC!M248)</f>
        <v>PSG</v>
      </c>
      <c r="L253" s="186" t="str">
        <f>IF(FN_MC!N248="","*",FN_MC!N248)</f>
        <v>PSG1</v>
      </c>
      <c r="M253" s="97">
        <f>IF(FN_MC!J248="","*",FN_MC!J248)</f>
        <v>103</v>
      </c>
      <c r="N253" s="173">
        <f>IF(FN_MC!K248="","*",FN_MC!K248)</f>
        <v>1806</v>
      </c>
      <c r="O253" s="173" t="str">
        <f>IF(FN_MC!L248="","*",FN_MC!L248)</f>
        <v>-</v>
      </c>
      <c r="P253" s="107">
        <f>IF(FN_MC!O248="","*",FN_MC!O248)</f>
        <v>0.99930555555555556</v>
      </c>
      <c r="Q253" s="107">
        <f>IF(FN_MC!P248="","*",FN_MC!P248)</f>
        <v>4.1666666666666664E-2</v>
      </c>
      <c r="R253" s="96" t="str">
        <f>IF(FN_MC!Q248="","*",CONCATENATE(FN_MC!Q248," ",FN_MC!R248))</f>
        <v>20000 M</v>
      </c>
      <c r="S253" s="96" t="str">
        <f>IF(FN_MC!V248="","*",FN_MC!V248)</f>
        <v>Fernanda</v>
      </c>
      <c r="T253" s="96" t="str">
        <f>IF(FN_MC!W248="","*",FN_MC!W248)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53" s="98">
        <f ca="1">_xlfn.XLOOKUP(G253&amp;$U$3,BS_CONTROLE[CHAVE],BS_CONTROLE[Quantidade_11],"-")</f>
        <v>0</v>
      </c>
      <c r="V253" s="98">
        <f ca="1">_xlfn.XLOOKUP(G253&amp;$V$3,BS_CONTROLE[CHAVE],BS_CONTROLE[Quantidade_11],"-")</f>
        <v>0</v>
      </c>
      <c r="W253" s="98">
        <f ca="1">_xlfn.XLOOKUP(G253&amp;$W$3,BS_CONTROLE[CHAVE],BS_CONTROLE[Quantidade_11],"-")</f>
        <v>0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0</v>
      </c>
      <c r="V258" s="98">
        <f ca="1">_xlfn.XLOOKUP(G258&amp;$V$3,BS_CONTROLE[CHAVE],BS_CONTROLE[Quantidade_11],"-")</f>
        <v>2700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0</v>
      </c>
      <c r="V261" s="98">
        <f ca="1">_xlfn.XLOOKUP(G261&amp;$V$3,BS_CONTROLE[CHAVE],BS_CONTROLE[Quantidade_11],"-")</f>
        <v>0</v>
      </c>
      <c r="W261" s="98">
        <f ca="1">_xlfn.XLOOKUP(G261&amp;$W$3,BS_CONTROLE[CHAVE],BS_CONTROLE[Quantidade_11],"-")</f>
        <v>415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Oportunidade</v>
      </c>
      <c r="C262" s="95" t="str">
        <f>IF(FN_MC!Z257="","*",FN_MC!Z257)</f>
        <v>*</v>
      </c>
      <c r="D262" s="96" t="str">
        <f>IF(FN_MC!S257="","*",FN_MC!S257)</f>
        <v>MALHA CENTRAL</v>
      </c>
      <c r="E262" s="96" t="str">
        <f>IF(FN_MC!T257="","*",FN_MC!T257)</f>
        <v>PRV-POV</v>
      </c>
      <c r="F262" s="96">
        <f>IF(FN_MC!B257="","*",FN_MC!B257)</f>
        <v>46075</v>
      </c>
      <c r="G262" s="96" t="str">
        <f>IF(FN_MC!D257="","*",FN_MC!D257)</f>
        <v>E14</v>
      </c>
      <c r="H262" s="96" t="str">
        <f>IF(FN_MC!F257="","*",FN_MC!F257)</f>
        <v>MECANIZAÇÃO - ESMERILHADORA</v>
      </c>
      <c r="I262" s="96" t="str">
        <f>IF(FN_MC!H257="","*",FN_MC!H257)</f>
        <v>PSS</v>
      </c>
      <c r="J262" s="96" t="str">
        <f>IF(FN_MC!I257="","*",FN_MC!I257)</f>
        <v>PSS</v>
      </c>
      <c r="K262" s="96" t="str">
        <f>IF(FN_MC!M257="","*",FN_MC!M257)</f>
        <v>PQI-PPR</v>
      </c>
      <c r="L262" s="186" t="str">
        <f>IF(FN_MC!N257="","*",FN_MC!N257)</f>
        <v>PQIPPR</v>
      </c>
      <c r="M262" s="97">
        <f>IF(FN_MC!J257="","*",FN_MC!J257)</f>
        <v>103</v>
      </c>
      <c r="N262" s="173">
        <f>IF(FN_MC!K257="","*",FN_MC!K257)</f>
        <v>1935</v>
      </c>
      <c r="O262" s="173">
        <f>IF(FN_MC!L257="","*",FN_MC!L257)</f>
        <v>1965</v>
      </c>
      <c r="P262" s="107">
        <f>IF(FN_MC!O257="","*",FN_MC!O257)</f>
        <v>0.95833333333333337</v>
      </c>
      <c r="Q262" s="107">
        <f>IF(FN_MC!P257="","*",FN_MC!P257)</f>
        <v>4.1666666666666664E-2</v>
      </c>
      <c r="R262" s="96" t="str">
        <f>IF(FN_MC!Q257="","*",CONCATENATE(FN_MC!Q257," ",FN_MC!R257))</f>
        <v>2000 M</v>
      </c>
      <c r="S262" s="96" t="str">
        <f>IF(FN_MC!V257="","*",FN_MC!V257)</f>
        <v>Fernanda</v>
      </c>
      <c r="T262" s="96" t="str">
        <f>IF(FN_MC!W257="","*",FN_MC!W257)</f>
        <v>Deslocamento de PSS até PQI / Esmerilhar de PQI até PPR / Deslocamento de PPR até PSS</v>
      </c>
      <c r="U262" s="98">
        <f ca="1">_xlfn.XLOOKUP(G262&amp;$U$3,BS_CONTROLE[CHAVE],BS_CONTROLE[Quantidade_11],"-")</f>
        <v>0</v>
      </c>
      <c r="V262" s="98">
        <f ca="1">_xlfn.XLOOKUP(G262&amp;$V$3,BS_CONTROLE[CHAVE],BS_CONTROLE[Quantidade_11],"-")</f>
        <v>0</v>
      </c>
      <c r="W262" s="98">
        <f ca="1">_xlfn.XLOOKUP(G262&amp;$W$3,BS_CONTROLE[CHAVE],BS_CONTROLE[Quantidade_11],"-")</f>
        <v>0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2700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FERRONORTE</v>
      </c>
      <c r="E268" s="96" t="str">
        <f>IF(FN_MC!T263="","*",FN_MC!T263)</f>
        <v>TCS-TGR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TLA</v>
      </c>
      <c r="L268" s="186" t="str">
        <f>IF(FN_MC!N263="","*",FN_MC!N263)</f>
        <v>TLA1</v>
      </c>
      <c r="M268" s="97">
        <f>IF(FN_MC!J263="","*",FN_MC!J263)</f>
        <v>74</v>
      </c>
      <c r="N268" s="173">
        <f>IF(FN_MC!K263="","*",FN_MC!K263)</f>
        <v>335.35899999999998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TBE-TRM</v>
      </c>
      <c r="L269" s="186" t="str">
        <f>IF(FN_MC!N264="","*",FN_MC!N264)</f>
        <v>539TRM</v>
      </c>
      <c r="M269" s="97">
        <f>IF(FN_MC!J264="","*",FN_MC!J264)</f>
        <v>98</v>
      </c>
      <c r="N269" s="173">
        <f>IF(FN_MC!K264="","*",FN_MC!K264)</f>
        <v>546.24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1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1</v>
      </c>
      <c r="V269" s="98">
        <f ca="1">_xlfn.XLOOKUP(G269&amp;$V$3,BS_CONTROLE[CHAVE],BS_CONTROLE[Quantidade_11],"-")</f>
        <v>0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Oportunidade</v>
      </c>
      <c r="C270" s="95" t="str">
        <f>IF(FN_MC!Z265="","*",FN_MC!Z265)</f>
        <v>*</v>
      </c>
      <c r="D270" s="96" t="str">
        <f>IF(FN_MC!S265="","*",FN_MC!S265)</f>
        <v>FERRONORTE</v>
      </c>
      <c r="E270" s="96" t="str">
        <f>IF(FN_MC!T265="","*",FN_MC!T265)</f>
        <v>TCS-TGR</v>
      </c>
      <c r="F270" s="96" t="str">
        <f>IF(FN_MC!B265="","*",FN_MC!B265)</f>
        <v>*</v>
      </c>
      <c r="G270" s="96" t="str">
        <f>IF(FN_MC!D265="","*",FN_MC!D265)</f>
        <v>W70</v>
      </c>
      <c r="H270" s="96" t="str">
        <f>IF(FN_MC!F265="","*",FN_MC!F265)</f>
        <v>DESLOCAMENTO</v>
      </c>
      <c r="I270" s="96" t="str">
        <f>IF(FN_MC!H265="","*",FN_MC!H265)</f>
        <v>TAG</v>
      </c>
      <c r="J270" s="96" t="str">
        <f>IF(FN_MC!I265="","*",FN_MC!I265)</f>
        <v>TOM</v>
      </c>
      <c r="K270" s="96" t="str">
        <f>IF(FN_MC!M265="","*",FN_MC!M265)</f>
        <v>TAG-TOM</v>
      </c>
      <c r="L270" s="186" t="str">
        <f>IF(FN_MC!N265="","*",FN_MC!N265)</f>
        <v>TAGTOM</v>
      </c>
      <c r="M270" s="97">
        <f>IF(FN_MC!J265="","*",FN_MC!J265)</f>
        <v>74</v>
      </c>
      <c r="N270" s="173">
        <f>IF(FN_MC!K265="","*",FN_MC!K265)</f>
        <v>500</v>
      </c>
      <c r="O270" s="173" t="str">
        <f>IF(FN_MC!L265="","*",FN_MC!L265)</f>
        <v>-</v>
      </c>
      <c r="P270" s="107">
        <f>IF(FN_MC!O265="","*",FN_MC!O265)</f>
        <v>0.4375</v>
      </c>
      <c r="Q270" s="107">
        <f>IF(FN_MC!P265="","*",FN_MC!P265)</f>
        <v>4.1666666666666664E-2</v>
      </c>
      <c r="R270" s="96" t="str">
        <f>IF(FN_MC!Q265="","*",CONCATENATE(FN_MC!Q265," ",FN_MC!R265))</f>
        <v>1 BINÁRIO</v>
      </c>
      <c r="S270" s="96" t="str">
        <f>IF(FN_MC!V265="","*",FN_MC!V265)</f>
        <v>Elton</v>
      </c>
      <c r="T270" s="96" t="str">
        <f>IF(FN_MC!W265="","*",FN_MC!W265)</f>
        <v>Deslocamento somente de locomotiva para abastecimento no TOM</v>
      </c>
      <c r="U270" s="98">
        <f ca="1">_xlfn.XLOOKUP(G270&amp;$U$3,BS_CONTROLE[CHAVE],BS_CONTROLE[Quantidade_11],"-")</f>
        <v>20</v>
      </c>
      <c r="V270" s="98">
        <f ca="1">_xlfn.XLOOKUP(G270&amp;$V$3,BS_CONTROLE[CHAVE],BS_CONTROLE[Quantidade_11],"-")</f>
        <v>16</v>
      </c>
      <c r="W270" s="98">
        <f ca="1">_xlfn.XLOOKUP(G270&amp;$W$3,BS_CONTROLE[CHAVE],BS_CONTROLE[Quantidade_11],"-")</f>
        <v>0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ELSON</v>
      </c>
      <c r="H271" s="96" t="str">
        <f>IF(FN_MC!F266="","*",FN_MC!F266)</f>
        <v>PDM - SOLDA</v>
      </c>
      <c r="I271" s="96" t="str">
        <f>IF(FN_MC!H266="","*",FN_MC!H266)</f>
        <v>-</v>
      </c>
      <c r="J271" s="96" t="str">
        <f>IF(FN_MC!I266="","*",FN_MC!I266)</f>
        <v>-</v>
      </c>
      <c r="K271" s="96" t="str">
        <f>IF(FN_MC!M266="","*",FN_MC!M266)</f>
        <v>TLA-S</v>
      </c>
      <c r="L271" s="186" t="str">
        <f>IF(FN_MC!N266="","*",FN_MC!N266)</f>
        <v>TLAS</v>
      </c>
      <c r="M271" s="97">
        <f>IF(FN_MC!J266="","*",FN_MC!J266)</f>
        <v>74</v>
      </c>
      <c r="N271" s="173">
        <f>IF(FN_MC!K266="","*",FN_MC!K266)</f>
        <v>335.35899999999998</v>
      </c>
      <c r="O271" s="173" t="str">
        <f>IF(FN_MC!L266="","*",FN_MC!L266)</f>
        <v>-</v>
      </c>
      <c r="P271" s="107">
        <f>IF(FN_MC!O266="","*",FN_MC!O266)</f>
        <v>0.4375</v>
      </c>
      <c r="Q271" s="107">
        <f>IF(FN_MC!P266="","*",FN_MC!P266)</f>
        <v>8.3333333333333329E-2</v>
      </c>
      <c r="R271" s="96" t="str">
        <f>IF(FN_MC!Q266="","*",CONCATENATE(FN_MC!Q266," ",FN_MC!R266))</f>
        <v>1 Nº DE SOLDA</v>
      </c>
      <c r="S271" s="96" t="str">
        <f>IF(FN_MC!V266="","*",FN_MC!V266)</f>
        <v>Elson</v>
      </c>
      <c r="T271" s="96" t="str">
        <f>IF(FN_MC!W266="","*",FN_MC!W266)</f>
        <v>Retirada de taco + solda</v>
      </c>
      <c r="U271" s="98">
        <f ca="1">_xlfn.XLOOKUP(G271&amp;$U$3,BS_CONTROLE[CHAVE],BS_CONTROLE[Quantidade_11],"-")</f>
        <v>1</v>
      </c>
      <c r="V271" s="98">
        <f ca="1">_xlfn.XLOOKUP(G271&amp;$V$3,BS_CONTROLE[CHAVE],BS_CONTROLE[Quantidade_11],"-")</f>
        <v>1</v>
      </c>
      <c r="W271" s="98">
        <f ca="1">_xlfn.XLOOKUP(G271&amp;$W$3,BS_CONTROLE[CHAVE],BS_CONTROLE[Quantidade_11],"-")</f>
        <v>2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>
      <c r="A272" s="95" t="str">
        <f>IF(FN_MC!Y267="","*",FN_MC!Y267)</f>
        <v>*</v>
      </c>
      <c r="B272" s="95" t="str">
        <f>IF(FN_MC!X267="","*",FN_MC!X267)</f>
        <v>Contrato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 t="str">
        <f ca="1">_xlfn.XLOOKUP(G272&amp;$U$3,BS_CONTROLE[CHAVE],BS_CONTROLE[Quantidade_11],"-")</f>
        <v>-</v>
      </c>
      <c r="V272" s="98">
        <f ca="1">_xlfn.XLOOKUP(G272&amp;$V$3,BS_CONTROLE[CHAVE],BS_CONTROLE[Quantidade_11],"-")</f>
        <v>63</v>
      </c>
      <c r="W272" s="98">
        <f ca="1">_xlfn.XLOOKUP(G272&amp;$W$3,BS_CONTROLE[CHAVE],BS_CONTROLE[Quantidade_11],"-")</f>
        <v>116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 t="str">
        <f>IF(FN_MC!N268="","*",FN_MC!N268)</f>
        <v>TVI239</v>
      </c>
      <c r="M273" s="97">
        <f>IF(FN_MC!J268="","*",FN_MC!J268)</f>
        <v>74</v>
      </c>
      <c r="N273" s="173">
        <f>IF(FN_MC!K268="","*",FN_MC!K268)</f>
        <v>239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0</v>
      </c>
      <c r="V273" s="98">
        <f ca="1">_xlfn.XLOOKUP(G273&amp;$V$3,BS_CONTROLE[CHAVE],BS_CONTROLE[Quantidade_11],"-")</f>
        <v>0</v>
      </c>
      <c r="W273" s="98">
        <f ca="1">_xlfn.XLOOKUP(G273&amp;$W$3,BS_CONTROLE[CHAVE],BS_CONTROLE[Quantidade_11],"-")</f>
        <v>415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0</v>
      </c>
      <c r="V275" s="98">
        <f ca="1">_xlfn.XLOOKUP(G275&amp;$V$3,BS_CONTROLE[CHAVE],BS_CONTROLE[Quantidade_11],"-")</f>
        <v>2</v>
      </c>
      <c r="W275" s="98">
        <f ca="1">_xlfn.XLOOKUP(G275&amp;$W$3,BS_CONTROLE[CHAVE],BS_CONTROLE[Quantidade_11],"-")</f>
        <v>0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TVI-TJA</v>
      </c>
      <c r="L276" s="186">
        <f>IF(FN_MC!N271="","*",FN_MC!N271)</f>
        <v>239251</v>
      </c>
      <c r="M276" s="97">
        <f>IF(FN_MC!J271="","*",FN_MC!J271)</f>
        <v>74</v>
      </c>
      <c r="N276" s="173">
        <f>IF(FN_MC!K271="","*",FN_MC!K271)</f>
        <v>242.202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4.1666666666666664E-2</v>
      </c>
      <c r="R276" s="96" t="str">
        <f>IF(FN_MC!Q271="","*",CONCATENATE(FN_MC!Q271," ",FN_MC!R271))</f>
        <v>8 M</v>
      </c>
      <c r="S276" s="96" t="str">
        <f>IF(FN_MC!V271="","*",FN_MC!V271)</f>
        <v>Adenilson</v>
      </c>
      <c r="T276" s="96" t="str">
        <f>IF(FN_MC!W271="","*",FN_MC!W271)</f>
        <v>Substituição de trilho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>
        <f ca="1">_xlfn.XLOOKUP(G277&amp;$U$3,BS_CONTROLE[CHAVE],BS_CONTROLE[Quantidade_11],"-")</f>
        <v>0</v>
      </c>
      <c r="V277" s="98">
        <f ca="1">_xlfn.XLOOKUP(G277&amp;$V$3,BS_CONTROLE[CHAVE],BS_CONTROLE[Quantidade_11],"-")</f>
        <v>0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TAP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100</v>
      </c>
      <c r="V278" s="98">
        <f ca="1">_xlfn.XLOOKUP(G278&amp;$V$3,BS_CONTROLE[CHAVE],BS_CONTROLE[Quantidade_11],"-")</f>
        <v>0</v>
      </c>
      <c r="W278" s="98">
        <f ca="1">_xlfn.XLOOKUP(G278&amp;$W$3,BS_CONTROLE[CHAVE],BS_CONTROLE[Quantidade_11],"-")</f>
        <v>1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 t="str">
        <f ca="1">_xlfn.XLOOKUP(G283&amp;$U$3,BS_CONTROLE[CHAVE],BS_CONTROLE[Quantidade_11],"-")</f>
        <v>-</v>
      </c>
      <c r="V283" s="98">
        <f ca="1">_xlfn.XLOOKUP(G283&amp;$V$3,BS_CONTROLE[CHAVE],BS_CONTROLE[Quantidade_11],"-")</f>
        <v>5</v>
      </c>
      <c r="W283" s="98">
        <f ca="1">_xlfn.XLOOKUP(G283&amp;$W$3,BS_CONTROLE[CHAVE],BS_CONTROLE[Quantidade_11],"-")</f>
        <v>2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Oportunidade</v>
      </c>
      <c r="C284" s="95" t="str">
        <f>IF(FN_MC!Z279="","*",FN_MC!Z279)</f>
        <v>*</v>
      </c>
      <c r="D284" s="96" t="str">
        <f>IF(FN_MC!S279="","*",FN_MC!S279)</f>
        <v>MALHA CENTRAL</v>
      </c>
      <c r="E284" s="96" t="str">
        <f>IF(FN_MC!T279="","*",FN_MC!T279)</f>
        <v>RAMAL</v>
      </c>
      <c r="F284" s="96" t="str">
        <f>IF(FN_MC!B279="","*",FN_MC!B279)</f>
        <v>*</v>
      </c>
      <c r="G284" s="96" t="str">
        <f>IF(FN_MC!D279="","*",FN_MC!D279)</f>
        <v>V53</v>
      </c>
      <c r="H284" s="96" t="str">
        <f>IF(FN_MC!F279="","*",FN_MC!F279)</f>
        <v>DESLOCAMENTO</v>
      </c>
      <c r="I284" s="96" t="str">
        <f>IF(FN_MC!H279="","*",FN_MC!H279)</f>
        <v>ZXE</v>
      </c>
      <c r="J284" s="96" t="str">
        <f>IF(FN_MC!I279="","*",FN_MC!I279)</f>
        <v>ZTO</v>
      </c>
      <c r="K284" s="96" t="str">
        <f>IF(FN_MC!M279="","*",FN_MC!M279)</f>
        <v>ZXE-ZTO</v>
      </c>
      <c r="L284" s="186" t="str">
        <f>IF(FN_MC!N279="","*",FN_MC!N279)</f>
        <v>ZXEZTO</v>
      </c>
      <c r="M284" s="97">
        <f>IF(FN_MC!J279="","*",FN_MC!J279)</f>
        <v>72</v>
      </c>
      <c r="N284" s="173">
        <f>IF(FN_MC!K279="","*",FN_MC!K279)</f>
        <v>320</v>
      </c>
      <c r="O284" s="173" t="str">
        <f>IF(FN_MC!L279="","*",FN_MC!L279)</f>
        <v>-</v>
      </c>
      <c r="P284" s="107">
        <f>IF(FN_MC!O279="","*",FN_MC!O279)</f>
        <v>0.33333333333333331</v>
      </c>
      <c r="Q284" s="107">
        <f>IF(FN_MC!P279="","*",FN_MC!P279)</f>
        <v>4.1666666666666664E-2</v>
      </c>
      <c r="R284" s="96" t="str">
        <f>IF(FN_MC!Q279="","*",CONCATENATE(FN_MC!Q279," ",FN_MC!R279))</f>
        <v>1 BINÁRIO</v>
      </c>
      <c r="S284" s="96" t="str">
        <f>IF(FN_MC!V279="","*",FN_MC!V279)</f>
        <v>Higor</v>
      </c>
      <c r="T284" s="96" t="str">
        <f>IF(FN_MC!W279="","*",FN_MC!W279)</f>
        <v>Deslocamento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e">
        <f>IF(FN_MC!#REF!="","*",FN_MC!#REF!)</f>
        <v>#REF!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e">
        <f ca="1">_xlfn.XLOOKUP(G766&amp;$U$3,BS_CONTROLE[CHAVE],BS_CONTROLE[Quantidade_11],"-")</f>
        <v>#REF!</v>
      </c>
      <c r="V766" s="98" t="e">
        <f ca="1">_xlfn.XLOOKUP(G766&amp;$V$3,BS_CONTROLE[CHAVE],BS_CONTROLE[Quantidade_11],"-")</f>
        <v>#REF!</v>
      </c>
      <c r="W766" s="98" t="e">
        <f ca="1">_xlfn.XLOOKUP(G766&amp;$W$3,BS_CONTROLE[CHAVE],BS_CONTROLE[Quantidade_11],"-")</f>
        <v>#REF!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IF(FN_MC!D761="","*",FN_MC!D761)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3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abSelected="1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1788</v>
      </c>
      <c r="C2" s="83" t="s">
        <v>1197</v>
      </c>
      <c r="D2" s="83" t="s">
        <v>1199</v>
      </c>
      <c r="E2" s="83" t="s">
        <v>1789</v>
      </c>
      <c r="F2" s="83" t="s">
        <v>1790</v>
      </c>
      <c r="G2" s="83" t="s">
        <v>1791</v>
      </c>
      <c r="H2" s="83" t="s">
        <v>1792</v>
      </c>
      <c r="I2" s="83" t="s">
        <v>1793</v>
      </c>
      <c r="J2" s="83" t="s">
        <v>1794</v>
      </c>
      <c r="K2" s="109" t="s">
        <v>1795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>
        <f>IF(FN_MC!B248="","*",FN_MC!B248)</f>
        <v>46074</v>
      </c>
      <c r="D288" s="101" t="str">
        <f>IF(FN_MC!D248="","*",FN_MC!D248)</f>
        <v>E14</v>
      </c>
      <c r="E288" s="101" t="str">
        <f>IF(FN_MC!H248="","*",FN_MC!H248)</f>
        <v>PSG2</v>
      </c>
      <c r="F288" s="114" t="str">
        <f>IF(FN_MC!M248="","*",FN_MC!M248)</f>
        <v>PSG</v>
      </c>
      <c r="G288" s="101" t="str">
        <f>IF(FN_MC!I248="","*",FN_MC!I248)</f>
        <v>PSS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>
        <f>IF(FN_MC!B257="","*",FN_MC!B257)</f>
        <v>46075</v>
      </c>
      <c r="D297" s="101" t="str">
        <f>IF(FN_MC!D257="","*",FN_MC!D257)</f>
        <v>E14</v>
      </c>
      <c r="E297" s="101" t="str">
        <f>IF(FN_MC!H257="","*",FN_MC!H257)</f>
        <v>PSS</v>
      </c>
      <c r="F297" s="114" t="str">
        <f>IF(FN_MC!M257="","*",FN_MC!M257)</f>
        <v>PQI-PPR</v>
      </c>
      <c r="G297" s="101" t="str">
        <f>IF(FN_MC!I257="","*",FN_MC!I257)</f>
        <v>PSS</v>
      </c>
      <c r="H297" s="101" t="str">
        <f>IF(FN_MC!AB257="","*",FN_MC!AB257)</f>
        <v>FIXO</v>
      </c>
      <c r="I297" s="101" t="str">
        <f>IF(FN_MC!AC257="","*",FN_MC!AC257)</f>
        <v>*</v>
      </c>
      <c r="J297" s="102">
        <f>IF(FN_MC!AA257="","*",FN_MC!AA257)</f>
        <v>1</v>
      </c>
      <c r="K297" s="112">
        <f>IF(FN_MC!AD257="","*",FN_MC!AD257)</f>
        <v>0.95833333333333337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TLA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TBE-TRM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W70</v>
      </c>
      <c r="E305" s="101" t="str">
        <f>IF(FN_MC!H265="","*",FN_MC!H265)</f>
        <v>TAG</v>
      </c>
      <c r="F305" s="114" t="str">
        <f>IF(FN_MC!M265="","*",FN_MC!M265)</f>
        <v>TAG-TOM</v>
      </c>
      <c r="G305" s="101" t="str">
        <f>IF(FN_MC!I265="","*",FN_MC!I265)</f>
        <v>TOM</v>
      </c>
      <c r="H305" s="101" t="str">
        <f>IF(FN_MC!AB265="","*",FN_MC!AB265)</f>
        <v>FIXO</v>
      </c>
      <c r="I305" s="101" t="str">
        <f>IF(FN_MC!AC265="","*",FN_MC!AC265)</f>
        <v>*</v>
      </c>
      <c r="J305" s="102" t="str">
        <f>IF(FN_MC!AA265="","*",FN_MC!AA265)</f>
        <v>2 (Enio e Daniel)</v>
      </c>
      <c r="K305" s="112">
        <f>IF(FN_MC!AD265="","*",FN_MC!AD265)</f>
        <v>0.29166666666666669</v>
      </c>
    </row>
    <row r="306" spans="2:1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ELSON</v>
      </c>
      <c r="E306" s="101" t="str">
        <f>IF(FN_MC!H266="","*",FN_MC!H266)</f>
        <v>-</v>
      </c>
      <c r="F306" s="114" t="str">
        <f>IF(FN_MC!M266="","*",FN_MC!M266)</f>
        <v>TLA-S</v>
      </c>
      <c r="G306" s="101" t="str">
        <f>IF(FN_MC!I266="","*",FN_MC!I266)</f>
        <v>-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FIXO</v>
      </c>
      <c r="I307" s="101" t="str">
        <f>IF(FN_MC!AC267="","*",FN_MC!AC267)</f>
        <v>*</v>
      </c>
      <c r="J307" s="102">
        <f>IF(FN_MC!AA267="","*",FN_MC!AA267)</f>
        <v>1</v>
      </c>
      <c r="K307" s="112" t="str">
        <f>IF(FN_MC!AD267="","*",FN_MC!AD267)</f>
        <v>*</v>
      </c>
    </row>
    <row r="308" spans="2:1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TVI-TJA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TAP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V53</v>
      </c>
      <c r="E319" s="101" t="str">
        <f>IF(FN_MC!H279="","*",FN_MC!H279)</f>
        <v>ZXE</v>
      </c>
      <c r="F319" s="114" t="str">
        <f>IF(FN_MC!M279="","*",FN_MC!M279)</f>
        <v>ZXE-ZTO</v>
      </c>
      <c r="G319" s="101" t="str">
        <f>IF(FN_MC!I279="","*",FN_MC!I279)</f>
        <v>ZTO</v>
      </c>
      <c r="H319" s="101" t="str">
        <f>IF(FN_MC!AB279="","*",FN_MC!AB279)</f>
        <v>FIXO</v>
      </c>
      <c r="I319" s="101" t="str">
        <f>IF(FN_MC!AC279="","*",FN_MC!AC279)</f>
        <v>*</v>
      </c>
      <c r="J319" s="102">
        <f>IF(FN_MC!AA279="","*",FN_MC!AA279)</f>
        <v>1</v>
      </c>
      <c r="K319" s="112">
        <f>IF(FN_MC!AD279="","*",FN_MC!AD279)</f>
        <v>0.29166666666666669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e">
        <f>IF(FN_MC!#REF!="","*",FN_MC!#REF!)</f>
        <v>#REF!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IF(FN_MC!D761="","*",FN_MC!D761)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2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8" sqref="B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1796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1797</v>
      </c>
      <c r="C4" s="181" t="s">
        <v>1798</v>
      </c>
      <c r="D4" s="181" t="s">
        <v>1799</v>
      </c>
      <c r="E4" s="181" t="s">
        <v>1800</v>
      </c>
      <c r="F4" s="181" t="s">
        <v>4</v>
      </c>
      <c r="G4" s="181" t="s">
        <v>1801</v>
      </c>
    </row>
    <row r="5" spans="2:7">
      <c r="B5" s="182" t="s">
        <v>1802</v>
      </c>
      <c r="C5" s="182">
        <v>309525</v>
      </c>
      <c r="D5" s="182" t="s">
        <v>1803</v>
      </c>
      <c r="E5" s="182" t="s">
        <v>878</v>
      </c>
      <c r="F5" s="182" t="s">
        <v>1804</v>
      </c>
      <c r="G5" s="183">
        <v>46296</v>
      </c>
    </row>
    <row r="6" spans="2:7">
      <c r="B6" s="182" t="s">
        <v>1805</v>
      </c>
      <c r="C6" s="182">
        <v>257410</v>
      </c>
      <c r="D6" s="182" t="s">
        <v>1806</v>
      </c>
      <c r="E6" s="182" t="s">
        <v>878</v>
      </c>
      <c r="F6" s="182" t="s">
        <v>1804</v>
      </c>
      <c r="G6" s="183"/>
    </row>
    <row r="7" spans="2:7">
      <c r="B7" s="182" t="s">
        <v>1484</v>
      </c>
      <c r="C7" s="182">
        <v>256875</v>
      </c>
      <c r="D7" s="182" t="s">
        <v>1807</v>
      </c>
      <c r="E7" s="182" t="s">
        <v>878</v>
      </c>
      <c r="F7" s="182" t="s">
        <v>1804</v>
      </c>
      <c r="G7" s="183">
        <v>46296</v>
      </c>
    </row>
    <row r="8" spans="2:7">
      <c r="B8" s="182" t="s">
        <v>1808</v>
      </c>
      <c r="C8" s="182">
        <v>257278</v>
      </c>
      <c r="D8" s="182" t="s">
        <v>1809</v>
      </c>
      <c r="E8" s="182" t="s">
        <v>869</v>
      </c>
      <c r="F8" s="182" t="s">
        <v>1810</v>
      </c>
      <c r="G8" s="183">
        <v>46235</v>
      </c>
    </row>
    <row r="9" spans="2:7">
      <c r="B9" s="182" t="s">
        <v>1811</v>
      </c>
      <c r="C9" s="182">
        <v>261794</v>
      </c>
      <c r="D9" s="182" t="s">
        <v>1812</v>
      </c>
      <c r="E9" s="182" t="s">
        <v>869</v>
      </c>
      <c r="F9" s="182" t="s">
        <v>1810</v>
      </c>
      <c r="G9" s="183">
        <v>46082</v>
      </c>
    </row>
    <row r="10" spans="2:7">
      <c r="B10" s="182" t="s">
        <v>1813</v>
      </c>
      <c r="C10" s="182">
        <v>257033</v>
      </c>
      <c r="D10" s="182" t="s">
        <v>1814</v>
      </c>
      <c r="E10" s="182" t="s">
        <v>869</v>
      </c>
      <c r="F10" s="182" t="s">
        <v>118</v>
      </c>
      <c r="G10" s="182" t="s">
        <v>1815</v>
      </c>
    </row>
    <row r="11" spans="2:7">
      <c r="B11" s="182" t="s">
        <v>1816</v>
      </c>
      <c r="C11" s="182">
        <v>396578</v>
      </c>
      <c r="D11" s="182" t="s">
        <v>1817</v>
      </c>
      <c r="E11" s="182" t="s">
        <v>869</v>
      </c>
      <c r="F11" s="182" t="s">
        <v>118</v>
      </c>
      <c r="G11" s="182" t="s">
        <v>1815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B6" sqref="B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1818</v>
      </c>
      <c r="D5" s="271"/>
      <c r="E5" s="271"/>
      <c r="F5" s="271"/>
      <c r="G5" s="271"/>
      <c r="H5" s="271"/>
      <c r="I5" s="271"/>
      <c r="J5" s="272"/>
      <c r="K5" s="273" t="s">
        <v>1819</v>
      </c>
      <c r="L5" s="274"/>
      <c r="M5" s="274"/>
      <c r="N5" s="274"/>
      <c r="O5" s="275" t="s">
        <v>1820</v>
      </c>
      <c r="P5" s="276"/>
      <c r="Q5" s="277"/>
    </row>
    <row r="6" spans="1:17" s="81" customFormat="1" ht="15.75" customHeight="1">
      <c r="A6" s="75" t="s">
        <v>1786</v>
      </c>
      <c r="B6" s="82" t="s">
        <v>1785</v>
      </c>
      <c r="C6" s="83" t="s">
        <v>1212</v>
      </c>
      <c r="D6" s="84" t="s">
        <v>1213</v>
      </c>
      <c r="E6" s="83" t="s">
        <v>1821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1822</v>
      </c>
      <c r="M6" s="116" t="s">
        <v>658</v>
      </c>
      <c r="N6" s="117" t="s">
        <v>1207</v>
      </c>
      <c r="O6" s="159" t="s">
        <v>1250</v>
      </c>
      <c r="P6" s="128"/>
      <c r="Q6" s="138" t="s">
        <v>1823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MC1 08h39 / Sem oportundiade de faixa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MC1 08h57 / autorizado entrada na via 13h19. devido avaria no RDC não conseguiu realizar o intervalo.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4.1666666666666664E-2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2</v>
      </c>
      <c r="P285" s="78"/>
      <c r="Q285" s="120" t="str">
        <f>IF($A$2=1,IF(FN_MC!BJ241="","*",FN_MC!BJ241),IF(FN_MC!BK241="","*",FN_MC!BK241))</f>
        <v>MC1 11h48 / Realizado intervalo para descarga de dormente.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TP pronto 08h46 / Sem Oportundiade de faixa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mc1 08h50 / Sem oportunidade de faixa</v>
      </c>
    </row>
    <row r="292" spans="1:17" hidden="1">
      <c r="A292" s="85">
        <f>IF(FN_MC!B248="","*",FN_MC!B248)</f>
        <v>46074</v>
      </c>
      <c r="B292" s="86" t="str">
        <f>IF(FN_MC!X248="","*",FN_MC!X248)</f>
        <v>Oportunidade</v>
      </c>
      <c r="C292" s="87" t="str">
        <f>IF(FN_MC!S248="","*",FN_MC!S248)</f>
        <v>MALHA CENTRAL</v>
      </c>
      <c r="D292" s="87" t="str">
        <f>IF(FN_MC!T248="","*",FN_MC!T248)</f>
        <v>POV-PRV</v>
      </c>
      <c r="E292" s="87" t="str">
        <f>IF(FN_MC!D248="","*",FN_MC!D248)</f>
        <v>E14</v>
      </c>
      <c r="F292" s="87" t="str">
        <f>IF(FN_MC!H248="","*",FN_MC!H248)</f>
        <v>PSG2</v>
      </c>
      <c r="G292" s="87" t="str">
        <f>IF(FN_MC!M248="","*",FN_MC!M248)</f>
        <v>PSG</v>
      </c>
      <c r="H292" s="125">
        <f>IF(FN_MC!K248="","*",FN_MC!K248)</f>
        <v>1806</v>
      </c>
      <c r="I292" s="110">
        <f>IF(FN_MC!O248="","*",FN_MC!O248)</f>
        <v>0.99930555555555556</v>
      </c>
      <c r="J292" s="110">
        <f>IF(FN_MC!P248="","*",FN_MC!P248)</f>
        <v>4.1666666666666664E-2</v>
      </c>
      <c r="K292" s="118" t="str">
        <f>IF(FN_MC!AK248="","*",FN_MC!AK248)</f>
        <v>PSG2</v>
      </c>
      <c r="L292" s="118" t="str">
        <f>IF(FN_MC!AM248="","*",FN_MC!AM248)</f>
        <v>PSG</v>
      </c>
      <c r="M292" s="118">
        <f>IF(FN_MC!AP248="","*",FN_MC!AP248)</f>
        <v>1806</v>
      </c>
      <c r="N292" s="118" t="str">
        <f>IF(FN_MC!AM248="","*",FN_MC!AM248)</f>
        <v>PSG</v>
      </c>
      <c r="O292" s="135">
        <f>FN_MC!BH248</f>
        <v>0</v>
      </c>
      <c r="P292" s="78"/>
      <c r="Q292" s="120" t="str">
        <f>IF($A$2=1,IF(FN_MC!BJ248="","*",FN_MC!BJ248),IF(FN_MC!BK248="","*",FN_MC!BK248))</f>
        <v>Devido horário, realizou apenas o deslocamento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>
        <f>IF(FN_MC!B257="","*",FN_MC!B257)</f>
        <v>46075</v>
      </c>
      <c r="B301" s="86" t="str">
        <f>IF(FN_MC!X257="","*",FN_MC!X257)</f>
        <v>Oportunidade</v>
      </c>
      <c r="C301" s="87" t="str">
        <f>IF(FN_MC!S257="","*",FN_MC!S257)</f>
        <v>MALHA CENTRAL</v>
      </c>
      <c r="D301" s="87" t="str">
        <f>IF(FN_MC!T257="","*",FN_MC!T257)</f>
        <v>PRV-POV</v>
      </c>
      <c r="E301" s="87" t="str">
        <f>IF(FN_MC!D257="","*",FN_MC!D257)</f>
        <v>E14</v>
      </c>
      <c r="F301" s="87" t="str">
        <f>IF(FN_MC!H257="","*",FN_MC!H257)</f>
        <v>PSS</v>
      </c>
      <c r="G301" s="87" t="str">
        <f>IF(FN_MC!M257="","*",FN_MC!M257)</f>
        <v>PQI-PPR</v>
      </c>
      <c r="H301" s="125">
        <f>IF(FN_MC!K257="","*",FN_MC!K257)</f>
        <v>1935</v>
      </c>
      <c r="I301" s="110">
        <f>IF(FN_MC!O257="","*",FN_MC!O257)</f>
        <v>0.95833333333333337</v>
      </c>
      <c r="J301" s="110">
        <f>IF(FN_MC!P257="","*",FN_MC!P257)</f>
        <v>4.1666666666666664E-2</v>
      </c>
      <c r="K301" s="118" t="str">
        <f>IF(FN_MC!AK257="","*",FN_MC!AK257)</f>
        <v>PSS</v>
      </c>
      <c r="L301" s="118" t="str">
        <f>IF(FN_MC!AM257="","*",FN_MC!AM257)</f>
        <v>PQI-PPR</v>
      </c>
      <c r="M301" s="118">
        <f>IF(FN_MC!AP257="","*",FN_MC!AP257)</f>
        <v>1935</v>
      </c>
      <c r="N301" s="118" t="str">
        <f>IF(FN_MC!AM257="","*",FN_MC!AM257)</f>
        <v>PQI-PPR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FERRONORTE</v>
      </c>
      <c r="D307" s="87" t="str">
        <f>IF(FN_MC!T263="","*",FN_MC!T263)</f>
        <v>TCS-TGR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TLA</v>
      </c>
      <c r="H307" s="125">
        <f>IF(FN_MC!K263="","*",FN_MC!K263)</f>
        <v>335.35899999999998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TLA</v>
      </c>
      <c r="M307" s="118">
        <f>IF(FN_MC!AP263="","*",FN_MC!AP263)</f>
        <v>335.35899999999998</v>
      </c>
      <c r="N307" s="118" t="str">
        <f>IF(FN_MC!AM263="","*",FN_MC!AM263)</f>
        <v>TLA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TBE-TRM</v>
      </c>
      <c r="H308" s="125">
        <f>IF(FN_MC!K264="","*",FN_MC!K264)</f>
        <v>546.24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TBE-TRM</v>
      </c>
      <c r="M308" s="118">
        <f>IF(FN_MC!AP264="","*",FN_MC!AP264)</f>
        <v>546.24</v>
      </c>
      <c r="N308" s="118" t="str">
        <f>IF(FN_MC!AM264="","*",FN_MC!AM264)</f>
        <v>TBE-TRM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Oportunidade</v>
      </c>
      <c r="C309" s="87" t="str">
        <f>IF(FN_MC!S265="","*",FN_MC!S265)</f>
        <v>FERRONORTE</v>
      </c>
      <c r="D309" s="87" t="str">
        <f>IF(FN_MC!T265="","*",FN_MC!T265)</f>
        <v>TCS-TGR</v>
      </c>
      <c r="E309" s="87" t="str">
        <f>IF(FN_MC!D265="","*",FN_MC!D265)</f>
        <v>W70</v>
      </c>
      <c r="F309" s="87" t="str">
        <f>IF(FN_MC!H265="","*",FN_MC!H265)</f>
        <v>TAG</v>
      </c>
      <c r="G309" s="87" t="str">
        <f>IF(FN_MC!M265="","*",FN_MC!M265)</f>
        <v>TAG-TOM</v>
      </c>
      <c r="H309" s="125">
        <f>IF(FN_MC!K265="","*",FN_MC!K265)</f>
        <v>500</v>
      </c>
      <c r="I309" s="110">
        <f>IF(FN_MC!O265="","*",FN_MC!O265)</f>
        <v>0.4375</v>
      </c>
      <c r="J309" s="110">
        <f>IF(FN_MC!P265="","*",FN_MC!P265)</f>
        <v>4.1666666666666664E-2</v>
      </c>
      <c r="K309" s="118" t="str">
        <f>IF(FN_MC!AK265="","*",FN_MC!AK265)</f>
        <v>TAG</v>
      </c>
      <c r="L309" s="118" t="str">
        <f>IF(FN_MC!AM265="","*",FN_MC!AM265)</f>
        <v>TAG-TOM</v>
      </c>
      <c r="M309" s="118">
        <f>IF(FN_MC!AP265="","*",FN_MC!AP265)</f>
        <v>500</v>
      </c>
      <c r="N309" s="118" t="str">
        <f>IF(FN_MC!AM265="","*",FN_MC!AM265)</f>
        <v>TAG-TOM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ELSON</v>
      </c>
      <c r="F310" s="87" t="str">
        <f>IF(FN_MC!H266="","*",FN_MC!H266)</f>
        <v>-</v>
      </c>
      <c r="G310" s="87" t="str">
        <f>IF(FN_MC!M266="","*",FN_MC!M266)</f>
        <v>TLA-S</v>
      </c>
      <c r="H310" s="125">
        <f>IF(FN_MC!K266="","*",FN_MC!K266)</f>
        <v>335.35899999999998</v>
      </c>
      <c r="I310" s="110">
        <f>IF(FN_MC!O266="","*",FN_MC!O266)</f>
        <v>0.4375</v>
      </c>
      <c r="J310" s="110">
        <f>IF(FN_MC!P266="","*",FN_MC!P266)</f>
        <v>8.3333333333333329E-2</v>
      </c>
      <c r="K310" s="118" t="str">
        <f>IF(FN_MC!AK266="","*",FN_MC!AK266)</f>
        <v>-</v>
      </c>
      <c r="L310" s="118" t="str">
        <f>IF(FN_MC!AM266="","*",FN_MC!AM266)</f>
        <v>TLA-S</v>
      </c>
      <c r="M310" s="118">
        <f>IF(FN_MC!AP266="","*",FN_MC!AP266)</f>
        <v>335.35899999999998</v>
      </c>
      <c r="N310" s="118" t="str">
        <f>IF(FN_MC!AM266="","*",FN_MC!AM266)</f>
        <v>TLA-S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Contrato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239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239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TVI-TJA</v>
      </c>
      <c r="H315" s="125">
        <f>IF(FN_MC!K271="","*",FN_MC!K271)</f>
        <v>242.202</v>
      </c>
      <c r="I315" s="110">
        <f>IF(FN_MC!O271="","*",FN_MC!O271)</f>
        <v>0.375</v>
      </c>
      <c r="J315" s="110">
        <f>IF(FN_MC!P271="","*",FN_MC!P271)</f>
        <v>4.1666666666666664E-2</v>
      </c>
      <c r="K315" s="118" t="str">
        <f>IF(FN_MC!AK271="","*",FN_MC!AK271)</f>
        <v>TVI1</v>
      </c>
      <c r="L315" s="118" t="str">
        <f>IF(FN_MC!AM271="","*",FN_MC!AM271)</f>
        <v>TVI-TJA</v>
      </c>
      <c r="M315" s="118">
        <f>IF(FN_MC!AP271="","*",FN_MC!AP271)</f>
        <v>242.202</v>
      </c>
      <c r="N315" s="118" t="str">
        <f>IF(FN_MC!AM271="","*",FN_MC!AM271)</f>
        <v>TVI-TJA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Oportunidade</v>
      </c>
      <c r="C323" s="87" t="str">
        <f>IF(FN_MC!S279="","*",FN_MC!S279)</f>
        <v>MALHA CENTRAL</v>
      </c>
      <c r="D323" s="87" t="str">
        <f>IF(FN_MC!T279="","*",FN_MC!T279)</f>
        <v>RAMAL</v>
      </c>
      <c r="E323" s="87" t="str">
        <f>IF(FN_MC!D279="","*",FN_MC!D279)</f>
        <v>V53</v>
      </c>
      <c r="F323" s="87" t="str">
        <f>IF(FN_MC!H279="","*",FN_MC!H279)</f>
        <v>ZXE</v>
      </c>
      <c r="G323" s="87" t="str">
        <f>IF(FN_MC!M279="","*",FN_MC!M279)</f>
        <v>ZXE-ZTO</v>
      </c>
      <c r="H323" s="125">
        <f>IF(FN_MC!K279="","*",FN_MC!K279)</f>
        <v>320</v>
      </c>
      <c r="I323" s="110">
        <f>IF(FN_MC!O279="","*",FN_MC!O279)</f>
        <v>0.33333333333333331</v>
      </c>
      <c r="J323" s="110">
        <f>IF(FN_MC!P279="","*",FN_MC!P279)</f>
        <v>4.1666666666666664E-2</v>
      </c>
      <c r="K323" s="118" t="str">
        <f>IF(FN_MC!AK279="","*",FN_MC!AK279)</f>
        <v>ZXE</v>
      </c>
      <c r="L323" s="118" t="str">
        <f>IF(FN_MC!AM279="","*",FN_MC!AM279)</f>
        <v>ZXE-ZTO</v>
      </c>
      <c r="M323" s="118">
        <f>IF(FN_MC!AP279="","*",FN_MC!AP279)</f>
        <v>320</v>
      </c>
      <c r="N323" s="118" t="str">
        <f>IF(FN_MC!AM279="","*",FN_MC!AM279)</f>
        <v>ZXE-ZTO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e">
        <f>IF(FN_MC!#REF!="","*",FN_MC!#REF!)</f>
        <v>#REF!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IF(FN_MC!D761="","*",FN_MC!D761)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1824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2026-02-22T17:46:18Z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