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171" documentId="8_{B6337239-1A00-434D-AAD0-422EA1FEB5AE}" xr6:coauthVersionLast="47" xr6:coauthVersionMax="47" xr10:uidLastSave="{D7939110-1E14-4400-85BB-27A0960A821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1" i="1" l="1" a="1"/>
  <c r="H291" i="1"/>
  <c r="I304" i="16"/>
  <c r="I302" i="16"/>
  <c r="I300" i="16"/>
  <c r="A303" i="1"/>
  <c r="H301" i="1" a="1"/>
  <c r="H301" i="1" s="1"/>
  <c r="I298" i="16"/>
  <c r="N248" i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K270" i="16"/>
  <c r="L270" i="16"/>
  <c r="R265" i="1"/>
  <c r="R270" i="16" s="1"/>
  <c r="S265" i="1" a="1"/>
  <c r="S265" i="1" s="1"/>
  <c r="D270" i="16" s="1"/>
  <c r="T265" i="1" a="1"/>
  <c r="T265" i="1" s="1"/>
  <c r="E270" i="16" s="1"/>
  <c r="AI265" i="1"/>
  <c r="BB265" i="1" s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K271" i="16"/>
  <c r="L271" i="16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K284" i="16"/>
  <c r="L284" i="16"/>
  <c r="R279" i="1"/>
  <c r="R284" i="16" s="1"/>
  <c r="S279" i="1" a="1"/>
  <c r="S279" i="1" s="1"/>
  <c r="D284" i="16" s="1"/>
  <c r="T279" i="1" a="1"/>
  <c r="T279" i="1" s="1"/>
  <c r="E284" i="16" s="1"/>
  <c r="AI279" i="1"/>
  <c r="BB279" i="1" s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L287" i="16"/>
  <c r="R282" i="1"/>
  <c r="S282" i="1" a="1"/>
  <c r="S282" i="1" s="1"/>
  <c r="D287" i="16" s="1"/>
  <c r="T282" i="1" a="1"/>
  <c r="T282" i="1" s="1"/>
  <c r="E287" i="16" s="1"/>
  <c r="AI282" i="1"/>
  <c r="BB282" i="1" s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L289" i="16"/>
  <c r="R284" i="1"/>
  <c r="R289" i="16" s="1"/>
  <c r="S284" i="1" a="1"/>
  <c r="S284" i="1" s="1"/>
  <c r="D289" i="16" s="1"/>
  <c r="T284" i="1" a="1"/>
  <c r="T284" i="1" s="1"/>
  <c r="E289" i="16" s="1"/>
  <c r="AI284" i="1"/>
  <c r="BB284" i="1" s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K293" i="16"/>
  <c r="L293" i="16"/>
  <c r="R288" i="1"/>
  <c r="S288" i="1" a="1"/>
  <c r="S288" i="1" s="1"/>
  <c r="D293" i="16" s="1"/>
  <c r="T288" i="1" a="1"/>
  <c r="T288" i="1" s="1"/>
  <c r="E293" i="16" s="1"/>
  <c r="AI288" i="1"/>
  <c r="BB288" i="1" s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L302" i="16"/>
  <c r="R297" i="1"/>
  <c r="S297" i="1" a="1"/>
  <c r="S297" i="1" s="1"/>
  <c r="D302" i="16" s="1"/>
  <c r="T297" i="1" a="1"/>
  <c r="T297" i="1" s="1"/>
  <c r="E302" i="16" s="1"/>
  <c r="AI297" i="1"/>
  <c r="BB297" i="1" s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K304" i="16"/>
  <c r="L304" i="16"/>
  <c r="R299" i="1"/>
  <c r="S299" i="1" a="1"/>
  <c r="S299" i="1" s="1"/>
  <c r="D304" i="16" s="1"/>
  <c r="T299" i="1" a="1"/>
  <c r="T299" i="1" s="1"/>
  <c r="E304" i="16" s="1"/>
  <c r="AI299" i="1"/>
  <c r="BB299" i="1" s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C303" i="1"/>
  <c r="G303" i="1"/>
  <c r="K308" i="16"/>
  <c r="L308" i="16"/>
  <c r="R303" i="1"/>
  <c r="S303" i="1" a="1"/>
  <c r="S303" i="1" s="1"/>
  <c r="D308" i="16" s="1"/>
  <c r="T303" i="1" a="1"/>
  <c r="T303" i="1" s="1"/>
  <c r="E308" i="16" s="1"/>
  <c r="AI303" i="1"/>
  <c r="BB303" i="1" s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4" i="1" l="1"/>
  <c r="AJ303" i="1"/>
  <c r="AJ301" i="1"/>
  <c r="AJ299" i="1"/>
  <c r="AJ297" i="1"/>
  <c r="AJ58" i="1"/>
  <c r="AJ295" i="1"/>
  <c r="AJ293" i="1"/>
  <c r="AJ291" i="1"/>
  <c r="AJ288" i="1"/>
  <c r="AJ284" i="1"/>
  <c r="BB59" i="1"/>
  <c r="AJ55" i="1"/>
  <c r="BB63" i="1"/>
  <c r="AJ282" i="1"/>
  <c r="BD66" i="1" a="1"/>
  <c r="BD66" i="1" s="1"/>
  <c r="BB57" i="1"/>
  <c r="BD56" i="1" a="1"/>
  <c r="BD56" i="1" s="1"/>
  <c r="AJ265" i="1"/>
  <c r="AJ279" i="1"/>
  <c r="AJ257" i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9" i="11" l="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<sst xmlns="http://schemas.openxmlformats.org/spreadsheetml/2006/main" count="7284" uniqueCount="1853">
  <si>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</si>
  <si>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</si>
  <si>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</si>
  <si>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</si>
  <si>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</si>
  <si>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</si>
  <si>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</si>
  <si>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</si>
  <si>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</si>
  <si>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</si>
  <si>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</si>
  <si>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</si>
  <si>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</si>
  <si>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</si>
  <si>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</si>
  <si>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</si>
  <si>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</si>
  <si>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</si>
  <si>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</si>
  <si>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</si>
  <si>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</si>
  <si>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</si>
  <si>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</si>
  <si>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</si>
  <si>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</si>
  <si>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</si>
  <si>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</si>
  <si>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</si>
  <si>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</si>
  <si>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</si>
  <si>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</si>
  <si>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</si>
  <si>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</si>
  <si>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</si>
  <si>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</si>
  <si>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</si>
  <si>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</si>
  <si>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</si>
  <si>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</si>
  <si>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</si>
  <si>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</si>
  <si>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</si>
  <si>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</si>
  <si>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</si>
  <si>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</si>
  <si>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</si>
  <si>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</si>
  <si>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</si>
  <si>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</si>
  <si>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</si>
  <si>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</si>
  <si>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</si>
  <si>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</si>
  <si>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</si>
  <si>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</si>
  <si>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</si>
  <si>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</si>
  <si>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</si>
  <si>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</si>
  <si>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</si>
  <si>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</si>
  <si>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</si>
  <si>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</si>
  <si>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</si>
  <si>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</si>
  <si>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</si>
  <si>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</si>
  <si>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</si>
  <si>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</si>
  <si>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</si>
  <si>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</si>
  <si>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</si>
  <si>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</si>
  <si>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</si>
  <si>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</si>
  <si>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</si>
  <si>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</si>
  <si>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</si>
  <si>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</si>
  <si>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</si>
  <si>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</si>
  <si>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</si>
  <si>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</si>
  <si>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</si>
  <si>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</si>
  <si>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</si>
  <si>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</si>
  <si>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</si>
  <si>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</si>
  <si>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</si>
  <si>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</si>
  <si>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</si>
  <si>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</si>
  <si>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</si>
  <si>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</si>
  <si>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</si>
  <si>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</si>
  <si>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</si>
  <si>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</si>
  <si>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</si>
  <si>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</si>
  <si>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</si>
  <si>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</si>
  <si>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</si>
  <si>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</si>
  <si>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</si>
  <si>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</si>
  <si>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</si>
  <si>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</si>
  <si>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</si>
  <si>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</si>
  <si>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</si>
  <si>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</si>
  <si>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</si>
  <si>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</si>
  <si>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</si>
  <si>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</si>
  <si>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</si>
  <si>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</si>
  <si>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</si>
  <si>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</si>
  <si>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</si>
  <si>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</si>
  <si>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</si>
  <si>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</si>
  <si>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</si>
  <si>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</si>
  <si>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</si>
  <si>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</si>
  <si>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</si>
  <si>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</si>
  <si>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</si>
  <si>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</si>
  <si>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</si>
  <si>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</si>
  <si>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</si>
  <si>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</si>
  <si>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</si>
  <si>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</si>
  <si>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</si>
  <si>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</si>
  <si>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</si>
  <si>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</si>
  <si>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</si>
  <si>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</si>
  <si>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</si>
  <si>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</si>
  <si>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</si>
  <si>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</si>
  <si>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</si>
  <si>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</si>
  <si>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</si>
  <si>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</si>
  <si>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</si>
  <si>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</si>
  <si>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</si>
  <si>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</si>
  <si>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</si>
  <si>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</si>
  <si>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</si>
  <si>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</si>
  <si>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</si>
  <si>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</si>
  <si>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</si>
  <si>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</si>
  <si>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</si>
  <si>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</si>
  <si>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</si>
  <si>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</si>
  <si>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</si>
  <si>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</si>
  <si>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</si>
  <si>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</si>
  <si>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</si>
  <si>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</si>
  <si>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</si>
  <si>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</si>
  <si>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</si>
  <si>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</si>
  <si>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</si>
  <si>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</si>
  <si>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</si>
  <si>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</si>
  <si>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</si>
  <si>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</si>
  <si>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</si>
  <si>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</si>
  <si>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</si>
  <si>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</si>
  <si>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</si>
  <si>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</si>
  <si>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</si>
  <si>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</si>
  <si>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</si>
  <si>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</si>
  <si>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</si>
  <si>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</si>
  <si>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</si>
  <si>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</si>
  <si>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</si>
  <si>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</si>
  <si>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</si>
  <si>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</si>
  <si>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</si>
  <si>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</si>
  <si>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</si>
  <si>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</si>
  <si>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</si>
  <si>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</si>
  <si>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</si>
  <si>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</si>
  <si>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</si>
  <si>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</si>
  <si>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</si>
  <si>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</si>
  <si>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</si>
  <si>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</si>
  <si>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</si>
  <si>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</si>
  <si>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</si>
  <si>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</si>
  <si>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</si>
  <si>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</si>
  <si>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</si>
  <si>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</si>
  <si>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</si>
  <si>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</si>
  <si>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</si>
  <si>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</si>
  <si>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</si>
  <si>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</si>
  <si>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</si>
  <si>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</si>
  <si>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</si>
  <si>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</si>
  <si>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</si>
  <si>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</si>
  <si>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</si>
  <si>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</si>
  <si>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</si>
  <si>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</si>
  <si>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</si>
  <si>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</si>
  <si>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</si>
  <si>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</si>
  <si>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</si>
  <si>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</si>
  <si>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</si>
  <si>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</si>
  <si>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</si>
  <si>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</si>
  <si>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</si>
  <si>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</si>
  <si>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</si>
  <si>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</si>
  <si>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</si>
  <si>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</si>
  <si>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</si>
  <si>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</si>
  <si>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</si>
  <si>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</si>
  <si>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</si>
  <si>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</si>
  <si>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</si>
  <si>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</si>
  <si>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</si>
  <si>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</si>
  <si>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</si>
  <si>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</si>
  <si>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</si>
  <si>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</si>
  <si>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</si>
  <si>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</si>
  <si>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</si>
  <si>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</si>
  <si>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</si>
  <si>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</si>
  <si>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</si>
  <si>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</si>
  <si>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</si>
  <si>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</si>
  <si>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</si>
  <si>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</si>
  <si>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</si>
  <si>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</si>
  <si>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</si>
  <si>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</si>
  <si>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</si>
  <si>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</si>
  <si>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</si>
  <si>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</si>
  <si>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</si>
  <si>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</si>
  <si>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</si>
  <si>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</si>
  <si>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</si>
  <si>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</si>
  <si>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</si>
  <si>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</si>
  <si>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</si>
  <si>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</si>
  <si>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</si>
  <si>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</si>
  <si>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</si>
  <si>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</si>
  <si>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</si>
  <si>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</si>
  <si>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</si>
  <si>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</si>
  <si>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</si>
  <si>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</si>
  <si>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</si>
  <si>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</si>
  <si>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</si>
  <si>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</si>
  <si>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</si>
  <si>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</si>
  <si>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</si>
  <si>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</si>
  <si>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</si>
  <si>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</si>
  <si>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</si>
  <si>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</si>
  <si>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</si>
  <si>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</si>
  <si>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</si>
  <si>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</si>
  <si>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</si>
  <si>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</si>
  <si>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</si>
  <si>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</si>
  <si>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</si>
  <si>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</si>
  <si>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</si>
  <si>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</si>
  <si>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</si>
  <si>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</si>
  <si>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</si>
  <si>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</si>
  <si>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</si>
  <si>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</si>
  <si>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</si>
  <si>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</si>
  <si>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</si>
  <si>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</si>
  <si>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</si>
  <si>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</si>
  <si>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</si>
  <si>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</si>
  <si>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</si>
  <si>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</si>
  <si>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</si>
  <si>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</si>
  <si>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</si>
  <si>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</si>
  <si>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</si>
  <si>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</si>
  <si>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</si>
  <si>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</si>
  <si>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</si>
  <si>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</si>
  <si>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</si>
  <si>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</si>
  <si>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</si>
  <si>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</si>
  <si>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</si>
  <si>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</si>
  <si>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</si>
  <si>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</si>
  <si>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</si>
  <si>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</si>
  <si>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</si>
  <si>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</si>
  <si>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</si>
  <si>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</si>
  <si>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</si>
  <si>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</si>
  <si>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</si>
  <si>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</si>
  <si>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</si>
  <si>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</si>
  <si>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</si>
  <si>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</si>
  <si>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</si>
  <si>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</si>
  <si>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</si>
  <si>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</si>
  <si>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</si>
  <si>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</si>
  <si>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</si>
  <si>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</si>
  <si>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</si>
  <si>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</si>
  <si>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</si>
  <si>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</si>
  <si>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</si>
  <si>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</si>
  <si>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</si>
  <si>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</si>
  <si>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</si>
  <si>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</si>
  <si>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</si>
  <si>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</si>
  <si>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</si>
  <si>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</si>
  <si>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</si>
  <si>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</si>
  <si>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</si>
  <si>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</si>
  <si>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</si>
  <si>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</si>
  <si>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</si>
  <si>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</si>
  <si>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</si>
  <si>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</si>
  <si>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</si>
  <si>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</si>
  <si>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</si>
  <si>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</si>
  <si>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</si>
  <si>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</si>
  <si>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</si>
  <si>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</si>
  <si>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</si>
  <si>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</si>
  <si>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</si>
  <si>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</si>
  <si>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</si>
  <si>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</si>
  <si>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</si>
  <si>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</si>
  <si>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</si>
  <si>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</si>
  <si>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</si>
  <si>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</si>
  <si>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</si>
  <si>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</si>
  <si>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</si>
  <si>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</si>
  <si>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</si>
  <si>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</si>
  <si>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</si>
  <si>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</si>
  <si>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</si>
  <si>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</si>
  <si>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</si>
  <si>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</si>
  <si>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</si>
  <si>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</si>
  <si>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</si>
  <si>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</si>
  <si>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</si>
  <si>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</si>
  <si>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</si>
  <si>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</si>
  <si>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</si>
  <si>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</si>
  <si>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</si>
  <si>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</si>
  <si>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</si>
  <si>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</si>
  <si>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</si>
  <si>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</si>
  <si>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</si>
  <si>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</si>
  <si>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</si>
  <si>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</si>
  <si>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</si>
  <si>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</si>
  <si>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</si>
  <si>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</si>
  <si>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</si>
  <si>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</si>
  <si>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</si>
  <si>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</si>
  <si>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</si>
  <si>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</si>
  <si>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</si>
  <si>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</si>
  <si>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</si>
  <si>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</si>
  <si>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</si>
  <si>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</si>
  <si>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</si>
  <si>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</si>
  <si>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</si>
  <si>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</si>
  <si>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</si>
  <si>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</si>
  <si>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</si>
  <si>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</si>
  <si>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</si>
  <si>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</si>
  <si>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</si>
  <si>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</si>
  <si>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</si>
  <si>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</si>
  <si>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</si>
  <si>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</si>
  <si>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</si>
  <si>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</si>
  <si>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</si>
  <si>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</si>
  <si>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</si>
  <si>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</si>
  <si>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</si>
  <si>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</si>
  <si>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</si>
  <si>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</si>
  <si>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</si>
  <si>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</si>
  <si>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</si>
  <si>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</si>
  <si>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</si>
  <si>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</si>
  <si>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</si>
  <si>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</si>
  <si>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</si>
  <si>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</si>
  <si>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</si>
  <si>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</si>
  <si>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</si>
  <si>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</si>
  <si>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</si>
  <si>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</si>
  <si>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</si>
  <si>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</si>
  <si>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</si>
  <si>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</si>
  <si>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</si>
  <si>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</si>
  <si>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</si>
  <si>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</si>
  <si>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</si>
  <si>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</si>
  <si>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</si>
  <si>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</si>
  <si>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</si>
  <si>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</si>
  <si>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</si>
  <si>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</si>
  <si>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</si>
  <si>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</si>
  <si>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</si>
  <si>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</si>
  <si>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</si>
  <si>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</si>
  <si>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</si>
  <si>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</si>
  <si>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</si>
  <si>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</si>
  <si>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</si>
  <si>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</si>
  <si>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</si>
  <si>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</si>
  <si>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</si>
  <si>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</si>
  <si>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</si>
  <si>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</si>
  <si>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</si>
  <si>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</si>
  <si>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</si>
  <si>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</si>
  <si>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</si>
  <si>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</si>
  <si>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</si>
  <si>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</si>
  <si>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</si>
  <si>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</si>
  <si>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</si>
  <si>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</si>
  <si>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</si>
  <si>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</si>
  <si>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</si>
  <si>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</si>
  <si>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</si>
  <si>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</si>
  <si>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</si>
  <si>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</si>
  <si>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</si>
  <si>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</si>
  <si>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</si>
  <si>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</si>
  <si>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</si>
  <si>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</si>
  <si>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</si>
  <si>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</si>
  <si>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</si>
  <si>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</si>
  <si>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</si>
  <si>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</si>
  <si>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</si>
  <si>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</si>
  <si>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</si>
  <si>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</si>
  <si>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</si>
  <si>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</si>
  <si>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</si>
  <si>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</si>
  <si>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</si>
  <si>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</si>
  <si>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</si>
  <si>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</si>
  <si>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</si>
  <si>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</si>
  <si>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</si>
  <si>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</si>
  <si>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</si>
  <si>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</si>
  <si>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</si>
  <si>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</si>
  <si>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</si>
  <si>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</si>
  <si>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</si>
  <si>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</si>
  <si>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</si>
  <si>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</si>
  <si>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</si>
  <si>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</si>
  <si>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</si>
  <si>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</si>
  <si>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</si>
  <si>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</si>
  <si>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</si>
  <si>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</si>
  <si>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</si>
  <si>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</si>
  <si>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</si>
  <si>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</si>
  <si>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</si>
  <si>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</si>
  <si>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</si>
  <si>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</si>
  <si>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</si>
  <si>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</si>
  <si>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</si>
  <si>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</si>
  <si>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</si>
  <si>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</si>
  <si>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</si>
  <si>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</si>
  <si>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</si>
  <si>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</si>
  <si>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</si>
  <si>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</si>
  <si>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</si>
  <si>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</si>
  <si>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</si>
  <si>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</si>
  <si>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</si>
  <si>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</si>
  <si>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</si>
  <si>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</si>
  <si>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</si>
  <si>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</si>
  <si>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</si>
  <si>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</si>
  <si>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</si>
  <si>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</si>
  <si>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</si>
  <si>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</si>
  <si>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</si>
  <si>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</si>
  <si>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</si>
  <si>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</si>
  <si>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</si>
  <si>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</si>
  <si>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</si>
  <si>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</si>
  <si>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</si>
  <si>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</si>
  <si>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</si>
  <si>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</si>
  <si>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</si>
  <si>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</si>
  <si>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</si>
  <si>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</si>
  <si>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</si>
  <si>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</si>
  <si>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</si>
  <si>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</si>
  <si>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</si>
  <si>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</si>
  <si>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</si>
  <si>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</si>
  <si>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</si>
  <si>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</si>
  <si>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</si>
  <si>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</si>
  <si>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</si>
  <si>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</si>
  <si>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</si>
  <si>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</si>
  <si>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</si>
  <si>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</si>
  <si>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</si>
  <si>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</si>
  <si>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</si>
  <si>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</si>
  <si>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</si>
  <si>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</si>
  <si>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</si>
  <si>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</si>
  <si>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</si>
  <si>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</si>
  <si>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</si>
  <si>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</si>
  <si>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</si>
  <si>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</si>
  <si>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</si>
  <si>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</si>
  <si>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</si>
  <si>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</si>
  <si>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</si>
  <si>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</si>
  <si>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</si>
  <si>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</si>
  <si>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</si>
  <si>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</si>
  <si>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</si>
  <si>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</si>
  <si>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</si>
  <si>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</si>
  <si>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</si>
  <si>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</si>
  <si>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</si>
  <si>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</si>
  <si>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</si>
  <si>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</si>
  <si>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</si>
  <si>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</si>
  <si>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</si>
  <si>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</si>
  <si>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</si>
  <si>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</si>
  <si>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</si>
  <si>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</si>
  <si>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</si>
  <si>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</si>
  <si>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</si>
  <si>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</si>
  <si>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</si>
  <si>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</si>
  <si>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</si>
  <si>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</si>
  <si>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</si>
  <si>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</si>
  <si>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</si>
  <si>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</si>
  <si>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</si>
  <si>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</si>
  <si>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</si>
  <si>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</si>
  <si>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</si>
  <si>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</si>
  <si>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</si>
  <si>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</si>
  <si>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</si>
  <si>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</si>
  <si>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</si>
  <si>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</si>
  <si>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</si>
  <si>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</si>
  <si>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</si>
  <si>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</si>
  <si>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</si>
  <si>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</si>
  <si>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</si>
  <si>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</si>
  <si>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</si>
  <si>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</si>
  <si>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</si>
  <si>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</si>
  <si>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</si>
  <si>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</si>
  <si>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</si>
  <si>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</si>
  <si>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</si>
  <si>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</si>
  <si>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</si>
  <si>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</si>
  <si>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</si>
  <si>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</si>
  <si>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</si>
  <si>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</si>
  <si>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</si>
  <si>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</si>
  <si>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</si>
  <si>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</si>
  <si>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</si>
  <si>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</si>
  <si>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</si>
  <si>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</si>
  <si>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</si>
  <si>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</si>
  <si>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</si>
  <si>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</si>
  <si>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</si>
  <si>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</si>
  <si>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</si>
  <si>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</si>
  <si>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</si>
  <si>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</si>
  <si>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</si>
  <si>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</si>
  <si>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</si>
  <si>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</si>
  <si>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</si>
  <si>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</si>
  <si>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</si>
  <si>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</si>
  <si>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</si>
  <si>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</si>
  <si>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</si>
  <si>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</si>
  <si>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</si>
  <si>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</si>
  <si>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</si>
  <si>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</si>
  <si>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</si>
  <si>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</si>
  <si>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</si>
  <si>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</si>
  <si>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</si>
  <si>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</si>
  <si>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</si>
  <si>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</si>
  <si>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</si>
  <si>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</si>
  <si>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</si>
  <si>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</si>
  <si>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</si>
  <si>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</si>
  <si>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</si>
  <si>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</si>
  <si>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</si>
  <si>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</si>
  <si>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</si>
  <si>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</si>
  <si>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</si>
  <si>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</si>
  <si>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</si>
  <si>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</si>
  <si>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</si>
  <si>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</si>
  <si>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</si>
  <si>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</si>
  <si>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</si>
  <si>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</si>
  <si>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</si>
  <si>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</si>
  <si>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</si>
  <si>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</si>
  <si>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</si>
  <si>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</si>
  <si>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</si>
  <si>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</si>
  <si>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</si>
  <si>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</si>
  <si>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</si>
  <si>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</si>
  <si>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</si>
  <si>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</si>
  <si>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</si>
  <si>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</si>
  <si>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</si>
  <si>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</si>
  <si>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</si>
  <si>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</si>
  <si>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</si>
  <si>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</si>
  <si>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</si>
  <si>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</si>
  <si>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</si>
  <si>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</si>
  <si>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</si>
  <si>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</si>
  <si>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</si>
  <si>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</si>
  <si>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</si>
  <si>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</si>
  <si>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</si>
  <si>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</si>
  <si>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</si>
  <si>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</si>
  <si>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</si>
  <si>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</si>
  <si>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</si>
  <si>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</si>
  <si>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</si>
  <si>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</si>
  <si>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</si>
  <si>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</si>
  <si>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</si>
  <si>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</si>
  <si>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</si>
  <si>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</si>
  <si>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</si>
  <si>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</si>
  <si>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</si>
  <si>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</si>
  <si>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</si>
  <si>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</si>
  <si>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</si>
  <si>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</si>
  <si>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</si>
  <si>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</si>
  <si>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</si>
  <si>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</si>
  <si>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</si>
  <si>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</si>
  <si>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</si>
  <si>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</si>
  <si>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</si>
  <si>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</si>
  <si>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</si>
  <si>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</si>
  <si>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</si>
  <si>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</si>
  <si>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</si>
  <si>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</si>
  <si>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</si>
  <si>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</si>
  <si>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</si>
  <si>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</si>
  <si>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</si>
  <si>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</si>
  <si>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</si>
  <si>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</si>
  <si>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</si>
  <si>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</si>
  <si>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</si>
  <si>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</si>
  <si>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</si>
  <si>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</si>
  <si>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</si>
  <si>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</si>
  <si>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</si>
  <si>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</si>
  <si>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</si>
  <si>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</si>
  <si>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</si>
  <si>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</si>
  <si>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</si>
  <si>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</si>
  <si>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</si>
  <si>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</si>
  <si>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</si>
  <si>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</si>
  <si>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</si>
  <si>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</si>
  <si>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</si>
  <si>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</si>
  <si>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</si>
  <si>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</si>
  <si>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</si>
  <si>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</si>
  <si>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</si>
  <si>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</si>
  <si>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</si>
  <si>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</si>
  <si>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</si>
  <si>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</si>
  <si>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</si>
  <si>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</si>
  <si>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</si>
  <si>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</si>
  <si>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</si>
  <si>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</si>
  <si>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</si>
  <si>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</si>
  <si>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</si>
  <si>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</si>
  <si>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</si>
  <si>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</si>
  <si>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</si>
  <si>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</si>
  <si>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</si>
  <si>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</si>
  <si>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</si>
  <si>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</si>
  <si>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</si>
  <si>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</si>
  <si>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</si>
  <si>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</si>
  <si>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</si>
  <si>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</si>
  <si>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</si>
  <si>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</si>
  <si>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</si>
  <si>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</si>
  <si>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</si>
  <si>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</si>
  <si>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</si>
  <si>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</si>
  <si>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</si>
  <si>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</si>
  <si>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</si>
  <si>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</si>
  <si>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</si>
  <si>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</si>
  <si>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</si>
  <si>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</si>
  <si>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</si>
  <si>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</si>
  <si>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</si>
  <si>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</si>
  <si>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</si>
  <si>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</si>
  <si>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</si>
  <si>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</si>
  <si>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</si>
  <si>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</si>
  <si>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</si>
  <si>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</si>
  <si>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</si>
  <si>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</si>
  <si>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</si>
  <si>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</si>
  <si>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</si>
  <si>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</si>
  <si>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</si>
  <si>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</si>
  <si>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</si>
  <si>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</si>
  <si>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</si>
  <si>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</si>
  <si>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</si>
  <si>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</si>
  <si>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</si>
  <si>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</si>
  <si>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</si>
  <si>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</si>
  <si>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</si>
  <si>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</si>
  <si>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</si>
  <si>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</si>
  <si>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</si>
  <si>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</si>
  <si>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</si>
  <si>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</si>
  <si>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</si>
  <si>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</si>
  <si>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</si>
  <si>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</si>
  <si>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</si>
  <si>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</si>
  <si>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</si>
  <si>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</si>
  <si>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</si>
  <si>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</si>
  <si>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</si>
  <si>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</si>
  <si>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</si>
  <si>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</si>
  <si>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</si>
  <si>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</si>
  <si>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</si>
  <si>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</si>
  <si>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</si>
  <si>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</si>
  <si>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</si>
  <si>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</si>
  <si>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</si>
  <si>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</si>
  <si>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</si>
  <si>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</si>
  <si>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</si>
  <si>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</si>
  <si>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</si>
  <si>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</si>
  <si>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</si>
  <si>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</si>
  <si>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</si>
  <si>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</si>
  <si>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</si>
  <si>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</si>
  <si>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</si>
  <si>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</si>
  <si>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</si>
  <si>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</si>
  <si>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</si>
  <si>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</si>
  <si>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</si>
  <si>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</si>
  <si>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</si>
  <si>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</si>
  <si>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</si>
  <si>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</si>
  <si>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</si>
  <si>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</si>
  <si>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</si>
  <si>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</si>
  <si>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</si>
  <si>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</si>
  <si>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</si>
  <si>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</si>
  <si>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</si>
  <si>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</si>
  <si>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</si>
  <si>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</si>
  <si>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</si>
  <si>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</si>
  <si>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</si>
  <si>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</si>
  <si>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</si>
  <si>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</si>
  <si>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</si>
  <si>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</si>
  <si>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</si>
  <si>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</si>
  <si>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</si>
  <si>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</si>
  <si>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</si>
  <si>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</si>
  <si>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</si>
  <si>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</si>
  <si>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</si>
  <si>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</si>
  <si>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</si>
  <si>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</si>
  <si>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</si>
  <si>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</si>
  <si>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</si>
  <si>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</si>
  <si>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</si>
  <si>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</si>
  <si>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</si>
  <si>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</si>
  <si>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</si>
  <si>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</si>
  <si>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</si>
  <si>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</si>
  <si>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</si>
  <si>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</si>
  <si>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</si>
  <si>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</si>
  <si>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</si>
  <si>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</si>
  <si>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</si>
  <si>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</si>
  <si>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</si>
  <si>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</si>
  <si>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</si>
  <si>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</si>
  <si>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</si>
  <si>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</si>
  <si>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</si>
  <si>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</si>
  <si>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</si>
  <si>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</si>
  <si>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</si>
  <si>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</si>
  <si>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</si>
  <si>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</si>
  <si>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</si>
  <si>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</si>
  <si>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</si>
  <si>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</si>
  <si>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</si>
  <si>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</si>
  <si>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</si>
  <si>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</si>
  <si>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</si>
  <si>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</si>
  <si>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</si>
  <si>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</si>
  <si>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</si>
  <si>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</si>
  <si>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</si>
  <si>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</si>
  <si>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</si>
  <si>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</si>
  <si>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</si>
  <si>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</si>
  <si>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</si>
  <si>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</si>
  <si>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</si>
  <si>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</si>
  <si>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</si>
  <si>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</si>
  <si>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</si>
  <si>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</si>
  <si>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</si>
  <si>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</si>
  <si>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</si>
  <si>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</si>
  <si>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</si>
  <si>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</si>
  <si>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</si>
  <si>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</si>
  <si>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</si>
  <si>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</si>
  <si>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</si>
  <si>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</si>
  <si>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</si>
  <si>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</si>
  <si>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</si>
  <si>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</si>
  <si>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</si>
  <si>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</si>
  <si>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</si>
  <si>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</si>
  <si>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</si>
  <si>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</si>
  <si>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</si>
  <si>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</si>
  <si>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</si>
  <si>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</si>
  <si>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</si>
  <si>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</si>
  <si>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</si>
  <si>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</si>
  <si>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</si>
  <si>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</si>
  <si>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</si>
  <si>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</si>
  <si>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</si>
  <si>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</si>
  <si>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</si>
  <si>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</si>
  <si>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</si>
  <si>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</si>
  <si>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</si>
  <si>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</si>
  <si>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</si>
  <si>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</si>
  <si>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</si>
  <si>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</si>
  <si>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</si>
  <si>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</si>
  <si>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</si>
  <si>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</si>
  <si>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</si>
  <si>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</si>
  <si>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</si>
  <si>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</si>
  <si>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</si>
  <si>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</si>
  <si>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</si>
  <si>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</si>
  <si>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</si>
  <si>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</si>
  <si>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</si>
  <si>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</si>
  <si>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</si>
  <si>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</si>
  <si>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</si>
  <si>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</si>
  <si>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</si>
  <si>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</si>
  <si>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</si>
  <si>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</si>
  <si>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</si>
  <si>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</si>
  <si>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</si>
  <si>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</si>
  <si>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</si>
  <si>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</si>
  <si>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</si>
  <si>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</si>
  <si>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</si>
  <si>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</si>
  <si>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</si>
  <si>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</si>
  <si>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</si>
  <si>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</si>
  <si>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</si>
  <si>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</si>
  <si>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</si>
  <si>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</si>
  <si>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</si>
  <si>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</si>
  <si>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</si>
  <si>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</si>
  <si>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</si>
  <si>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</si>
  <si>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</si>
  <si>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</si>
  <si>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</si>
  <si>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</si>
  <si>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</si>
  <si>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</si>
  <si>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</si>
  <si>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</si>
  <si>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</si>
  <si>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</si>
  <si>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</si>
  <si>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</si>
  <si>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</si>
  <si>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</si>
  <si>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</si>
  <si>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</si>
  <si>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</si>
  <si>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</si>
  <si>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</si>
  <si>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</si>
  <si>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</si>
  <si>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</si>
  <si>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</si>
  <si>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</si>
  <si>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</si>
  <si>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</si>
  <si>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</si>
  <si>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</si>
  <si>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</si>
  <si>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</si>
  <si>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</si>
  <si>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</si>
  <si>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</si>
  <si>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</si>
  <si>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</si>
  <si>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</si>
  <si>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</si>
  <si>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</si>
  <si>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</si>
  <si>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</si>
  <si>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</si>
  <si>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</si>
  <si>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</si>
  <si>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</si>
  <si>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</si>
  <si>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</si>
  <si>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</si>
  <si>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</si>
  <si>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</si>
  <si>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</si>
  <si>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</si>
  <si>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</si>
  <si>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</si>
  <si>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</si>
  <si>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</si>
  <si>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</si>
  <si>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</si>
  <si>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</si>
  <si>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</si>
  <si>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</si>
  <si>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</si>
  <si>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</si>
  <si>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</si>
  <si>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</si>
  <si>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</si>
  <si>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</si>
  <si>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</si>
  <si>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</si>
  <si>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</si>
  <si>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</si>
  <si>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</si>
  <si>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</si>
  <si>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</si>
  <si>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</si>
  <si>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</si>
  <si>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</si>
  <si>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</si>
  <si>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</si>
  <si>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</si>
  <si>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</si>
  <si>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</si>
  <si>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</si>
  <si>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</si>
  <si>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</si>
  <si>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</si>
  <si>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</si>
  <si>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</si>
  <si>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</si>
  <si>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</si>
  <si>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</si>
  <si>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</si>
  <si>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</si>
  <si>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</si>
  <si>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</si>
  <si>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</si>
  <si>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</si>
  <si>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</si>
  <si>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</si>
  <si>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</si>
  <si>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</si>
  <si>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</si>
  <si>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</si>
  <si>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</si>
  <si>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</si>
  <si>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</si>
  <si>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</si>
  <si>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</si>
  <si>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</si>
  <si>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</si>
  <si>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</si>
  <si>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</si>
  <si>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</si>
  <si>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</si>
  <si>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</si>
  <si>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</si>
  <si>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</si>
  <si>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</si>
  <si>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</si>
  <si>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</si>
  <si>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</si>
  <si>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</si>
  <si>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</si>
  <si>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</si>
  <si>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</si>
  <si>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</si>
  <si>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</si>
  <si>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</si>
  <si>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</si>
  <si>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</si>
  <si>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</si>
  <si>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</si>
  <si>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</si>
  <si>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</si>
  <si>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</si>
  <si>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</si>
  <si>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</si>
  <si>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</si>
  <si>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</si>
  <si>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</si>
  <si>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</si>
  <si>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</si>
  <si>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</si>
  <si>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</si>
  <si>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</si>
  <si>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</si>
  <si>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</si>
  <si>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</si>
  <si>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</si>
  <si>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</si>
  <si>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</si>
  <si>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</si>
  <si>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</si>
  <si>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</si>
  <si>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</si>
  <si>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</si>
  <si>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</si>
  <si>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</si>
  <si>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</si>
  <si>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</si>
  <si>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</si>
  <si>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</si>
  <si>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</si>
  <si>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</si>
  <si>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</si>
  <si>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</si>
  <si>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</si>
  <si>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</si>
  <si>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</si>
  <si>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</si>
  <si>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</si>
  <si>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</si>
  <si>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</si>
  <si>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</si>
  <si>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</si>
  <si>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</si>
  <si>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</si>
  <si>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</si>
  <si>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</si>
  <si>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</si>
  <si>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</si>
  <si>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</si>
  <si>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</si>
  <si>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</si>
  <si>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</si>
  <si>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</si>
  <si>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</si>
  <si>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</si>
  <si>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</si>
  <si>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</si>
  <si>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</si>
  <si>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</si>
  <si>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</si>
  <si>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</si>
  <si>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</si>
  <si>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</si>
  <si>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</si>
  <si>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</si>
  <si>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</si>
  <si>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</si>
  <si>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</si>
  <si>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</si>
  <si>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</si>
  <si>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</si>
  <si>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</si>
  <si>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</si>
  <si>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</si>
  <si>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</si>
  <si>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</si>
  <si>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</si>
  <si>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</si>
  <si>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</si>
  <si>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</si>
  <si>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</si>
  <si>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</si>
  <si>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</si>
  <si>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</si>
  <si>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</si>
  <si>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</si>
  <si>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</si>
  <si>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</si>
  <si>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</si>
  <si>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</si>
  <si>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</si>
  <si>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</si>
  <si>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</si>
  <si>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</si>
  <si>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</si>
  <si>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</si>
  <si>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</si>
  <si>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</si>
  <si>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</si>
  <si>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</si>
  <si>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</si>
  <si>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</si>
  <si>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</si>
  <si>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</si>
  <si>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</si>
  <si>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</si>
  <si>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</si>
  <si>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</si>
  <si>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</si>
  <si>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</si>
  <si>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</si>
  <si>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</si>
  <si>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</si>
  <si>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</si>
  <si>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</si>
  <si>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</si>
  <si>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</si>
  <si>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</si>
  <si>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</si>
  <si>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</si>
  <si>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</si>
  <si>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</si>
  <si>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</si>
  <si>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</si>
  <si>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</si>
  <si>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</si>
  <si>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</si>
  <si>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</si>
  <si>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</si>
  <si>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</si>
  <si>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</si>
  <si>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</si>
  <si>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</si>
  <si>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</si>
  <si>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</si>
  <si>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</si>
  <si>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</si>
  <si>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</si>
  <si>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</si>
  <si>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</si>
  <si>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</si>
  <si>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</si>
  <si>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</si>
  <si>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</si>
  <si>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</si>
  <si>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</si>
  <si>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</si>
  <si>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</si>
  <si>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</si>
  <si>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</si>
  <si>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</si>
  <si>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</si>
  <si>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</si>
  <si>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</si>
  <si>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</si>
  <si>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</si>
  <si>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</si>
  <si>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</si>
  <si>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</si>
  <si>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</si>
  <si>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</si>
  <si>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</si>
  <si>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</si>
  <si>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</si>
  <si>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</si>
  <si>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</si>
  <si>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</si>
  <si>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</si>
  <si>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</si>
  <si>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</si>
  <si>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</si>
  <si>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</si>
  <si>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</si>
  <si>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</si>
  <si>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</si>
  <si>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</si>
  <si>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</si>
  <si>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</si>
  <si>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</si>
  <si>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</si>
  <si>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</si>
  <si>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</si>
  <si>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</si>
  <si>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</si>
  <si>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</si>
  <si>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</si>
  <si>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</si>
  <si>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</si>
  <si>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</si>
  <si>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</si>
  <si>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</si>
  <si>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</si>
  <si>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</si>
  <si>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</si>
  <si>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</si>
  <si>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</si>
  <si>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</si>
  <si>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</si>
  <si>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</si>
  <si>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</si>
  <si>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</si>
  <si>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</si>
  <si>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</si>
  <si>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</si>
  <si>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</si>
  <si>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</si>
  <si>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</si>
  <si>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</si>
  <si>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</si>
  <si>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</si>
  <si>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</si>
  <si>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</si>
  <si>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</si>
  <si>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</si>
  <si>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</si>
  <si>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</si>
  <si>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</si>
  <si>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</si>
  <si>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</si>
  <si>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</si>
  <si>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</si>
  <si>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</si>
  <si>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</si>
  <si>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</si>
  <si>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</si>
  <si>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</si>
  <si>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</si>
  <si>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</si>
  <si>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</si>
  <si>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</si>
  <si>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</si>
  <si>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</si>
  <si>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</si>
  <si>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</si>
  <si>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</si>
  <si>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</si>
  <si>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</si>
  <si>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</si>
  <si>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</si>
  <si>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</si>
  <si>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</si>
  <si>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</si>
  <si>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</si>
  <si>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</si>
  <si>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</si>
  <si>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</si>
  <si>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</si>
  <si>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</si>
  <si>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</si>
  <si>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</si>
  <si>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</si>
  <si>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</si>
  <si>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</si>
  <si>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</si>
  <si>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</si>
  <si>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</si>
  <si>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</si>
  <si>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</si>
  <si>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</si>
  <si>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</si>
  <si>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</si>
  <si>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</si>
  <si>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</si>
  <si>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</si>
  <si>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</si>
  <si>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</si>
  <si>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</si>
  <si>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</si>
  <si>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</si>
  <si>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</si>
  <si>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</si>
  <si>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</si>
  <si>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</si>
  <si>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</si>
  <si>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</si>
  <si>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</si>
  <si>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</si>
  <si>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</si>
  <si>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</si>
  <si>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</si>
  <si>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</si>
  <si>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</si>
  <si>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</si>
  <si>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</si>
  <si>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</si>
  <si>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</si>
  <si>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</si>
  <si>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</si>
  <si>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</si>
  <si>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</si>
  <si>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</si>
  <si>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</si>
  <si>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</si>
  <si>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</si>
  <si>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</si>
  <si>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</si>
  <si>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</si>
  <si>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</si>
  <si>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</si>
  <si>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</si>
  <si>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</si>
  <si>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</si>
  <si>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</si>
  <si>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</si>
  <si>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</si>
  <si>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</si>
  <si>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</si>
  <si>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</si>
  <si>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</si>
  <si>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</si>
  <si>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</si>
  <si>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</si>
  <si>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</si>
  <si>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</si>
  <si>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</si>
  <si>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</si>
  <si>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</si>
  <si>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</si>
  <si>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</si>
  <si>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</si>
  <si>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</si>
  <si>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</si>
  <si>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</si>
  <si>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</si>
  <si>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</si>
  <si>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</si>
  <si>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</si>
  <si>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</si>
  <si>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</si>
  <si>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</si>
  <si>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</si>
  <si>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</si>
  <si>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</si>
  <si>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</si>
  <si>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</si>
  <si>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</si>
  <si>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</si>
  <si>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</si>
  <si>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</si>
  <si>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</si>
  <si>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</si>
  <si>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</si>
  <si>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</si>
  <si>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</si>
  <si>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</si>
  <si>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</si>
  <si>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</si>
  <si>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</si>
  <si>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</si>
  <si>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</si>
  <si>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</si>
  <si>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</si>
  <si>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</si>
  <si>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</si>
  <si>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</si>
  <si>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</si>
  <si>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</si>
  <si>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</si>
  <si>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</si>
  <si>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</si>
  <si>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</si>
  <si>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</si>
  <si>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</si>
  <si>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</si>
  <si>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</si>
  <si>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</si>
  <si>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</si>
  <si>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</si>
  <si>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</si>
  <si>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</si>
  <si>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</si>
  <si>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</si>
  <si>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</si>
  <si>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</si>
  <si>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</si>
  <si>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</si>
  <si>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</si>
  <si>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TRMSUL</t>
  </si>
  <si>
    <t>Execução de solda - AMV SUL</t>
  </si>
  <si>
    <t>N70</t>
  </si>
  <si>
    <t>TOM-TAG</t>
  </si>
  <si>
    <t>TOMTAG</t>
  </si>
  <si>
    <t>Finalizar abastececimento e deslocar pro TAG</t>
  </si>
  <si>
    <t>Recolha de dormente TQI L2</t>
  </si>
  <si>
    <t>TMI-TIN</t>
  </si>
  <si>
    <t>TMITIN</t>
  </si>
  <si>
    <t>ZDK-ZFH</t>
  </si>
  <si>
    <t>ZDKZFH</t>
  </si>
  <si>
    <t>Deslocamento de ZTP pra TAP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</si>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</sst>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G1" activePane="topRight" state="frozen"/>
      <selection pane="topRight" activeCell="BK264" sqref="BK26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6" t="s">
        <v>1172</v>
      </c>
      <c r="AJ1" s="256"/>
      <c r="AK1" s="256"/>
      <c r="AL1" s="256"/>
      <c r="AM1" s="256"/>
      <c r="AN1" s="256"/>
      <c r="AO1" s="256"/>
      <c r="AP1" s="256"/>
      <c r="AQ1" s="256"/>
      <c r="AR1" s="256"/>
      <c r="AS1" s="256"/>
      <c r="AT1" s="256"/>
      <c r="AU1" s="256"/>
      <c r="AV1" s="256"/>
      <c r="AW1" s="256"/>
      <c r="AX1" s="256"/>
      <c r="AY1" s="256"/>
      <c r="AZ1" s="256"/>
      <c r="BA1" s="256"/>
      <c r="BB1" s="256"/>
      <c r="BC1" s="256"/>
      <c r="BD1" s="256"/>
      <c r="BE1" s="256"/>
      <c r="BF1" s="256"/>
      <c r="BG1" s="3"/>
      <c r="BH1" s="257" t="s">
        <v>1173</v>
      </c>
      <c r="BI1" s="257"/>
      <c r="BJ1" s="257"/>
      <c r="BK1" s="257"/>
      <c r="BL1" s="43"/>
      <c r="BM1" s="255" t="s">
        <v>1174</v>
      </c>
      <c r="BN1" s="255"/>
      <c r="BO1" s="255"/>
      <c r="BP1" s="255"/>
      <c r="BQ1" s="255"/>
      <c r="BR1" s="255"/>
      <c r="BS1" s="255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6" t="s">
        <v>1175</v>
      </c>
      <c r="AJ2" s="256"/>
      <c r="AK2" s="256"/>
      <c r="AL2" s="256"/>
      <c r="AM2" s="256"/>
      <c r="AN2" s="256"/>
      <c r="AO2" s="256"/>
      <c r="AP2" s="256"/>
      <c r="AQ2" s="256"/>
      <c r="AR2" s="153"/>
      <c r="AS2" s="258" t="s">
        <v>1178</v>
      </c>
      <c r="AT2" s="258"/>
      <c r="AU2" s="258"/>
      <c r="AV2" s="258"/>
      <c r="AW2" s="258"/>
      <c r="AX2" s="258"/>
      <c r="AY2" s="258"/>
      <c r="AZ2" s="4"/>
      <c r="BA2" s="254" t="s">
        <v>1179</v>
      </c>
      <c r="BB2" s="254"/>
      <c r="BC2" s="256" t="s">
        <v>1176</v>
      </c>
      <c r="BD2" s="256"/>
      <c r="BE2" s="256"/>
      <c r="BF2" s="256"/>
      <c r="BG2" s="3"/>
      <c r="BH2" s="257"/>
      <c r="BI2" s="257"/>
      <c r="BJ2" s="257"/>
      <c r="BK2" s="257"/>
      <c r="BL2" s="43"/>
      <c r="BM2" s="255"/>
      <c r="BN2" s="255"/>
      <c r="BO2" s="255"/>
      <c r="BP2" s="255"/>
      <c r="BQ2" s="255"/>
      <c r="BR2" s="255"/>
      <c r="BS2" s="255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4" t="s">
        <v>1180</v>
      </c>
      <c r="AJ3" s="254"/>
      <c r="AK3" s="254" t="s">
        <v>1181</v>
      </c>
      <c r="AL3" s="254"/>
      <c r="AM3" s="254"/>
      <c r="AN3" s="254"/>
      <c r="AO3" s="254"/>
      <c r="AP3" s="254"/>
      <c r="AQ3" s="254"/>
      <c r="AR3" s="154"/>
      <c r="AS3" s="259" t="s">
        <v>1187</v>
      </c>
      <c r="AT3" s="259"/>
      <c r="AU3" s="259" t="s">
        <v>1188</v>
      </c>
      <c r="AV3" s="259"/>
      <c r="AW3" s="259" t="s">
        <v>1189</v>
      </c>
      <c r="AX3" s="259"/>
      <c r="AY3" s="57" t="s">
        <v>1190</v>
      </c>
      <c r="AZ3" s="57"/>
      <c r="BA3" s="254"/>
      <c r="BB3" s="254"/>
      <c r="BC3" s="254" t="s">
        <v>1183</v>
      </c>
      <c r="BD3" s="254"/>
      <c r="BE3" s="254"/>
      <c r="BF3" s="254"/>
      <c r="BG3" s="56"/>
      <c r="BH3" s="257"/>
      <c r="BI3" s="257"/>
      <c r="BJ3" s="257"/>
      <c r="BK3" s="257"/>
      <c r="BL3" s="43"/>
      <c r="BM3" s="255" t="s">
        <v>1191</v>
      </c>
      <c r="BN3" s="255"/>
      <c r="BO3" s="255"/>
      <c r="BP3" s="255"/>
      <c r="BQ3" s="255" t="s">
        <v>160</v>
      </c>
      <c r="BR3" s="255"/>
      <c r="BS3" s="255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1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2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2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2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2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2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2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2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2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2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2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2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2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2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2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2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2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2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2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2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2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2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2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2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2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2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2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2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2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2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2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2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2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2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2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2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2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2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2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2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2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2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3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1589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1604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183</v>
      </c>
      <c r="E237" s="175">
        <v>276</v>
      </c>
      <c r="F237" s="133" t="s">
        <v>142</v>
      </c>
      <c r="G237" s="8" t="str">
        <f>IF(D237="","*",VLOOKUP(F237,BS_ATIVIDADE[#All],3,FALSE))</f>
        <v>MODERNIZAÇÃO</v>
      </c>
      <c r="H237" s="134" t="s">
        <v>457</v>
      </c>
      <c r="I237" s="134" t="s">
        <v>457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239</v>
      </c>
      <c r="E239" s="175">
        <v>277</v>
      </c>
      <c r="F239" s="133" t="s">
        <v>100</v>
      </c>
      <c r="G239" s="8" t="str">
        <f>IF(D239="","*",VLOOKUP(F239,BS_ATIVIDADE[#All],3,FALSE))</f>
        <v>MECANIZAÇÃO - DOL</v>
      </c>
      <c r="H239" s="134" t="s">
        <v>417</v>
      </c>
      <c r="I239" s="134" t="s">
        <v>417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240</v>
      </c>
      <c r="E241" s="175">
        <v>279</v>
      </c>
      <c r="F241" s="133" t="s">
        <v>133</v>
      </c>
      <c r="G241" s="8" t="str">
        <f>IF(D241="","*",VLOOKUP(F241,BS_ATIVIDADE[#All],3,FALSE))</f>
        <v>MODERNIZAÇÃO</v>
      </c>
      <c r="H241" s="134" t="s">
        <v>385</v>
      </c>
      <c r="I241" s="134" t="s">
        <v>385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11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334</v>
      </c>
      <c r="E244" s="175">
        <v>282</v>
      </c>
      <c r="F244" s="133" t="s">
        <v>193</v>
      </c>
      <c r="G244" s="8" t="str">
        <f>IF(D244="","*",VLOOKUP(F244,BS_ATIVIDADE[#All],3,FALSE))</f>
        <v>SOLDA</v>
      </c>
      <c r="H244" s="134" t="s">
        <v>416</v>
      </c>
      <c r="I244" s="134" t="s">
        <v>11</v>
      </c>
      <c r="J244" s="150">
        <v>74</v>
      </c>
      <c r="K244" s="150">
        <v>97.62</v>
      </c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209</v>
      </c>
      <c r="E247" s="175">
        <v>285</v>
      </c>
      <c r="F247" s="133" t="s">
        <v>213</v>
      </c>
      <c r="G247" s="8" t="str">
        <f>IF(D247="","*",VLOOKUP(F247,BS_ATIVIDADE[#All],3,FALSE))</f>
        <v>OUTROS</v>
      </c>
      <c r="H247" s="134" t="s">
        <v>980</v>
      </c>
      <c r="I247" s="134" t="s">
        <v>1747</v>
      </c>
      <c r="J247" s="150">
        <v>103</v>
      </c>
      <c r="K247" s="150">
        <v>2152.3159999999998</v>
      </c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21.75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149</v>
      </c>
      <c r="E248" s="175">
        <v>264</v>
      </c>
      <c r="F248" s="133" t="s">
        <v>107</v>
      </c>
      <c r="G248" s="8" t="str">
        <f>IF(D248="","*",VLOOKUP(F248,BS_ATIVIDADE[#All],3,FALSE))</f>
        <v>MECANIZAÇÃO - ESMERILHADORA</v>
      </c>
      <c r="H248" s="134" t="s">
        <v>927</v>
      </c>
      <c r="I248" s="134" t="s">
        <v>960</v>
      </c>
      <c r="J248" s="150">
        <v>103</v>
      </c>
      <c r="K248" s="150">
        <v>1806</v>
      </c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217</v>
      </c>
      <c r="E253" s="175">
        <v>291</v>
      </c>
      <c r="F253" s="133" t="s">
        <v>116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617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 t="s">
        <v>1752</v>
      </c>
      <c r="BL253" s="13"/>
      <c r="BM253" s="12" t="s">
        <v>1025</v>
      </c>
      <c r="BN253" s="12" t="s">
        <v>1055</v>
      </c>
      <c r="BO253" s="130" t="s">
        <v>1156</v>
      </c>
      <c r="BP253" s="14" t="s">
        <v>11</v>
      </c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183</v>
      </c>
      <c r="E256" s="175">
        <v>294</v>
      </c>
      <c r="F256" s="133" t="s">
        <v>142</v>
      </c>
      <c r="G256" s="8" t="str">
        <f>IF(D256="","*",VLOOKUP(F256,BS_ATIVIDADE[#All],3,FALSE))</f>
        <v>MODERNIZAÇÃO</v>
      </c>
      <c r="H256" s="134" t="s">
        <v>457</v>
      </c>
      <c r="I256" s="134" t="s">
        <v>457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 t="s">
        <v>1752</v>
      </c>
      <c r="BL256" s="13"/>
      <c r="BM256" s="12" t="s">
        <v>1025</v>
      </c>
      <c r="BN256" s="12" t="s">
        <v>1055</v>
      </c>
      <c r="BO256" s="130" t="s">
        <v>1156</v>
      </c>
      <c r="BP256" s="14" t="s">
        <v>11</v>
      </c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149</v>
      </c>
      <c r="E257" s="175">
        <v>264</v>
      </c>
      <c r="F257" s="133" t="s">
        <v>107</v>
      </c>
      <c r="G257" s="8" t="str">
        <f>IF(D257="","*",VLOOKUP(F257,BS_ATIVIDADE[#All],3,FALSE))</f>
        <v>MECANIZAÇÃO - ESMERILHADORA</v>
      </c>
      <c r="H257" s="134" t="s">
        <v>960</v>
      </c>
      <c r="I257" s="134" t="s">
        <v>960</v>
      </c>
      <c r="J257" s="150">
        <v>103</v>
      </c>
      <c r="K257" s="150">
        <v>1935</v>
      </c>
      <c r="L257" s="71">
        <v>1965</v>
      </c>
      <c r="M257" s="148" t="s">
        <v>950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>
        <v>4.1666666666666666E-3</v>
      </c>
      <c r="AS257" s="32">
        <v>0</v>
      </c>
      <c r="AT257" s="32">
        <v>0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>
        <v>0</v>
      </c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 t="s">
        <v>1025</v>
      </c>
      <c r="BN257" s="12" t="s">
        <v>1055</v>
      </c>
      <c r="BO257" s="130" t="s">
        <v>1156</v>
      </c>
      <c r="BP257" s="14" t="s">
        <v>11</v>
      </c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>CCOCirculaçãoIntervaloOportunidade</v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217</v>
      </c>
      <c r="E261" s="175">
        <v>299</v>
      </c>
      <c r="F261" s="133" t="s">
        <v>116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617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>
        <v>0.35486111111111113</v>
      </c>
      <c r="AS261" s="32">
        <v>0</v>
      </c>
      <c r="AT261" s="32">
        <v>0</v>
      </c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>
        <v>0</v>
      </c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>
        <v>0</v>
      </c>
      <c r="BI261" s="14"/>
      <c r="BJ261" s="14" t="s">
        <v>1756</v>
      </c>
      <c r="BK261" s="14" t="s">
        <v>1757</v>
      </c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>
        <v>74</v>
      </c>
      <c r="K263" s="150">
        <v>335.35899999999998</v>
      </c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3" s="188" t="str">
        <f>IFERROR(_xlfn.XLOOKUP(J263, BASE_MAPA!$B$2:$B$420, BASE_MAPA!$G$2:$G$420), "ERRO")</f>
        <v>MARCO INICIAL - ALTO ARAGUAIA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TLA</v>
      </c>
      <c r="AN263" s="166" t="str">
        <f>IF(BS_CONTROLE[[#This Row],[SB]]=0, "-", BS_CONTROLE[[#This Row],[SB]])</f>
        <v>TLA1</v>
      </c>
      <c r="AO263" s="167">
        <f>IF(BS_CONTROLE[[#This Row],[SUB]]=0, "-", BS_CONTROLE[[#This Row],[SUB]])</f>
        <v>74</v>
      </c>
      <c r="AP263" s="168">
        <f>IF(BS_CONTROLE[[#This Row],[KM - Inicio]]=0, "-", BS_CONTROLE[[#This Row],[KM - Inicio]])</f>
        <v>335.35899999999998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3" s="189" t="str">
        <f>IFERROR(_xlfn.XLOOKUP(AO263, BASE_MAPA!$B$2:$B$420, BASE_MAPA!$G$2:$G$420), "ERRO")</f>
        <v>MARCO INICIAL - ALTO ARAGUAIA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278</v>
      </c>
      <c r="E264" s="175">
        <v>302</v>
      </c>
      <c r="F264" s="133" t="s">
        <v>193</v>
      </c>
      <c r="G264" s="8" t="str">
        <f>IF(D264="","*",VLOOKUP(F264,BS_ATIVIDADE[#All],3,FALSE))</f>
        <v>SOLDA</v>
      </c>
      <c r="H264" s="134" t="s">
        <v>603</v>
      </c>
      <c r="I264" s="134" t="s">
        <v>11</v>
      </c>
      <c r="J264" s="150">
        <v>98</v>
      </c>
      <c r="K264" s="150">
        <v>546.24</v>
      </c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>
        <v>0.33680555555555558</v>
      </c>
      <c r="AS264" s="32">
        <v>0.37916666666666665</v>
      </c>
      <c r="AT264" s="32">
        <v>0.44166666666666665</v>
      </c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6.25E-2</v>
      </c>
      <c r="AZ264" s="11"/>
      <c r="BA264" s="60">
        <v>2</v>
      </c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>
        <v>2</v>
      </c>
      <c r="BI264" s="14"/>
      <c r="BJ264" s="14" t="s">
        <v>1758</v>
      </c>
      <c r="BK264" s="14" t="s">
        <v>1759</v>
      </c>
      <c r="BL264" s="13"/>
      <c r="BM264" s="12"/>
      <c r="BN264" s="12"/>
      <c r="BO264" s="130"/>
      <c r="BP264" s="14"/>
      <c r="BQ264" s="10" t="str">
        <f t="shared" si="28"/>
        <v>Aderente</v>
      </c>
      <c r="BR264" s="15">
        <f t="shared" si="29"/>
        <v>1</v>
      </c>
      <c r="BS264" s="15">
        <f t="shared" si="30"/>
        <v>2</v>
      </c>
      <c r="BT264" s="231" t="str">
        <f t="shared" si="31"/>
        <v/>
      </c>
    </row>
    <row r="265" spans="1:72" hidden="1">
      <c r="A265" s="44" t="str">
        <f t="shared" si="27"/>
        <v>W70</v>
      </c>
      <c r="B265" s="132"/>
      <c r="C265" s="7" t="str">
        <f>IF(BS_CONTROLE[[#This Row],[DATA]]="","",WEEKNUM(BS_CONTROLE[[#This Row],[DATA]]))</f>
        <v/>
      </c>
      <c r="D265" s="45" t="s">
        <v>249</v>
      </c>
      <c r="E265" s="175">
        <v>304</v>
      </c>
      <c r="F265" s="133" t="s">
        <v>25</v>
      </c>
      <c r="G265" s="8" t="str">
        <f>IF(D265="","*",VLOOKUP(F265,BS_ATIVIDADE[#All],3,FALSE))</f>
        <v>OUTROS</v>
      </c>
      <c r="H265" s="134" t="s">
        <v>1293</v>
      </c>
      <c r="I265" s="134" t="s">
        <v>539</v>
      </c>
      <c r="J265" s="150">
        <v>74</v>
      </c>
      <c r="K265" s="150">
        <v>500</v>
      </c>
      <c r="L265" s="71" t="s">
        <v>11</v>
      </c>
      <c r="M265" s="148" t="s">
        <v>1760</v>
      </c>
      <c r="N265" s="148" t="s">
        <v>1761</v>
      </c>
      <c r="O265" s="134">
        <v>0.4375</v>
      </c>
      <c r="P265" s="134">
        <v>4.1666666666666664E-2</v>
      </c>
      <c r="Q265" s="71">
        <v>1</v>
      </c>
      <c r="R265" s="9" t="str">
        <f>IFERROR(_xlfn.XLOOKUP(F265, BS_ATIVIDADE[ATIVIDADE],BS_ATIVIDADE[UNIDADE] ), "*")</f>
        <v>BINÁRIO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188" t="str">
        <f>IFERROR(_xlfn.XLOOKUP(J265, BASE_MAPA!$B$2:$B$420, BASE_MAPA!$G$2:$G$420), "ERRO")</f>
        <v>MARCO INICIAL - ALTO ARAGUAIA</v>
      </c>
      <c r="V265" s="142" t="s">
        <v>1566</v>
      </c>
      <c r="W265" s="220" t="s">
        <v>1762</v>
      </c>
      <c r="X265" s="151" t="s">
        <v>1005</v>
      </c>
      <c r="Y265" s="129"/>
      <c r="Z265" s="129"/>
      <c r="AA265" s="71" t="s">
        <v>1266</v>
      </c>
      <c r="AB265" s="59" t="s">
        <v>997</v>
      </c>
      <c r="AC265" s="59"/>
      <c r="AD265" s="134">
        <v>0.29166666666666669</v>
      </c>
      <c r="AE265" s="71" t="s">
        <v>1533</v>
      </c>
      <c r="AF265" s="71">
        <v>9292</v>
      </c>
      <c r="AG265" s="71"/>
      <c r="AH265" s="42"/>
      <c r="AI265" s="119" t="str">
        <f>IF(BS_CONTROLE[[#This Row],[Atividade]]=0, "-", BS_CONTROLE[[#This Row],[Atividade]])</f>
        <v>DESLOCAMENTO</v>
      </c>
      <c r="AJ265" s="8" t="str">
        <f>IF(D265="","*",VLOOKUP(AI265,BS_ATIVIDADE[#Data],3,FALSE))</f>
        <v>OUTROS</v>
      </c>
      <c r="AK265" s="166" t="str">
        <f>IF(BS_CONTROLE[[#This Row],[Local - Partida]]=0, "-", BS_CONTROLE[[#This Row],[Local - Partida]])</f>
        <v>TAG</v>
      </c>
      <c r="AL265" s="166" t="str">
        <f>IF(BS_CONTROLE[[#This Row],[Local - Encerramento]]=0, "-", BS_CONTROLE[[#This Row],[Local - Encerramento]])</f>
        <v>TOM</v>
      </c>
      <c r="AM265" s="166" t="str">
        <f>IF(BS_CONTROLE[[#This Row],[Entre - Estações]]=0, "-", BS_CONTROLE[[#This Row],[Entre - Estações]])</f>
        <v>TAG-TOM</v>
      </c>
      <c r="AN265" s="166" t="str">
        <f>IF(BS_CONTROLE[[#This Row],[SB]]=0, "-", BS_CONTROLE[[#This Row],[SB]])</f>
        <v>TAGTOM</v>
      </c>
      <c r="AO265" s="167">
        <f>IF(BS_CONTROLE[[#This Row],[SUB]]=0, "-", BS_CONTROLE[[#This Row],[SUB]])</f>
        <v>74</v>
      </c>
      <c r="AP265" s="168">
        <f>IF(BS_CONTROLE[[#This Row],[KM - Inicio]]=0, "-", BS_CONTROLE[[#This Row],[KM - Inicio]])</f>
        <v>500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>
        <f>IF(D265="","*",IFERROR(IF(ISODD(COUNT(AS265:AX265)),"ERRO",SUM((AT265-AS265),(AV265-AU265),(AX265-AW265))),"ERRO"))</f>
        <v>0</v>
      </c>
      <c r="AZ265" s="11"/>
      <c r="BA265" s="60"/>
      <c r="BB265" s="9" t="str">
        <f>IFERROR(_xlfn.XLOOKUP(AI265, BS_ATIVIDADE[ATIVIDADE],BS_ATIVIDADE[UNIDADE] ), "*")</f>
        <v>BINÁRIO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89" t="str">
        <f>IFERROR(_xlfn.XLOOKUP(AO265, BASE_MAPA!$B$2:$B$420, BASE_MAPA!$G$2:$G$420), "ERRO")</f>
        <v>MARCO INICIAL - ALTO ARAGUAIA</v>
      </c>
      <c r="BF265" s="169" t="str">
        <f>IF(BS_CONTROLE[[#This Row],[Responsavel pelo boletim]]=0, "-", BS_CONTROLE[[#This Row],[Responsavel pelo boletim]])</f>
        <v>Elton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ELSON46076</v>
      </c>
      <c r="B266" s="132">
        <v>46076</v>
      </c>
      <c r="C266" s="7">
        <f>IF(BS_CONTROLE[[#This Row],[DATA]]="","",WEEKNUM(BS_CONTROLE[[#This Row],[DATA]]))</f>
        <v>9</v>
      </c>
      <c r="D266" s="45" t="s">
        <v>1681</v>
      </c>
      <c r="E266" s="175">
        <v>274</v>
      </c>
      <c r="F266" s="133" t="s">
        <v>193</v>
      </c>
      <c r="G266" s="8" t="str">
        <f>IF(D266="","*",VLOOKUP(F266,BS_ATIVIDADE[#All],3,FALSE))</f>
        <v>SOLDA</v>
      </c>
      <c r="H266" s="134" t="s">
        <v>11</v>
      </c>
      <c r="I266" s="134" t="s">
        <v>11</v>
      </c>
      <c r="J266" s="150">
        <v>74</v>
      </c>
      <c r="K266" s="150">
        <v>335.35899999999998</v>
      </c>
      <c r="L266" s="71" t="s">
        <v>11</v>
      </c>
      <c r="M266" s="148" t="s">
        <v>1763</v>
      </c>
      <c r="N266" s="148" t="s">
        <v>1764</v>
      </c>
      <c r="O266" s="134">
        <v>0.4375</v>
      </c>
      <c r="P266" s="134">
        <v>8.3333333333333329E-2</v>
      </c>
      <c r="Q266" s="71">
        <v>1</v>
      </c>
      <c r="R266" s="9" t="str">
        <f>IFERROR(_xlfn.XLOOKUP(F266, BS_ATIVIDADE[ATIVIDADE],BS_ATIVIDADE[UNIDADE] ), "*")</f>
        <v>Nº DE SOLDA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1290</v>
      </c>
      <c r="W266" s="220" t="s">
        <v>1765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SOLDA</v>
      </c>
      <c r="AJ266" s="8" t="str">
        <f>IF(D266="","*",VLOOKUP(AI266,BS_ATIVIDADE[#Data],3,FALSE))</f>
        <v>SOLDA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TLA-S</v>
      </c>
      <c r="AN266" s="166" t="str">
        <f>IF(BS_CONTROLE[[#This Row],[SB]]=0, "-", BS_CONTROLE[[#This Row],[SB]])</f>
        <v>TLAS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335.35899999999998</v>
      </c>
      <c r="AQ266" s="168" t="str">
        <f>IF(BS_CONTROLE[[#This Row],[KM - Fim]]=0, "-", BS_CONTROLE[[#This Row],[KM - Fim]])</f>
        <v>-</v>
      </c>
      <c r="AR266" s="32">
        <v>0.35833333333333334</v>
      </c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Nº DE SOLDA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Elson</v>
      </c>
      <c r="BG266" s="13"/>
      <c r="BH266" s="14">
        <v>0</v>
      </c>
      <c r="BI266" s="14"/>
      <c r="BJ266" s="14" t="s">
        <v>1766</v>
      </c>
      <c r="BK266" s="14" t="s">
        <v>1482</v>
      </c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106</v>
      </c>
      <c r="E267" s="175">
        <v>305</v>
      </c>
      <c r="F267" s="133" t="s">
        <v>32</v>
      </c>
      <c r="G267" s="8" t="str">
        <f>IF(D267="","*",VLOOKUP(F267,BS_ATIVIDADE[#All],3,FALSE))</f>
        <v>DETECÇÃO</v>
      </c>
      <c r="H267" s="134" t="s">
        <v>473</v>
      </c>
      <c r="I267" s="134" t="s">
        <v>417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 t="s">
        <v>1000</v>
      </c>
      <c r="Y267" s="129"/>
      <c r="Z267" s="129"/>
      <c r="AA267" s="71">
        <v>1</v>
      </c>
      <c r="AB267" s="59" t="s">
        <v>997</v>
      </c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>
        <v>0.35902777777777778</v>
      </c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>
        <v>1</v>
      </c>
      <c r="BI267" s="14"/>
      <c r="BJ267" s="14" t="s">
        <v>1767</v>
      </c>
      <c r="BK267" s="14" t="s">
        <v>1767</v>
      </c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183</v>
      </c>
      <c r="E268" s="175">
        <v>306</v>
      </c>
      <c r="F268" s="133" t="s">
        <v>142</v>
      </c>
      <c r="G268" s="8" t="str">
        <f>IF(D268="","*",VLOOKUP(F268,BS_ATIVIDADE[#All],3,FALSE))</f>
        <v>MODERNIZAÇÃO</v>
      </c>
      <c r="H268" s="134" t="s">
        <v>457</v>
      </c>
      <c r="I268" s="134" t="s">
        <v>457</v>
      </c>
      <c r="J268" s="150">
        <v>74</v>
      </c>
      <c r="K268" s="150">
        <v>239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 t="str">
        <f>IF(BS_CONTROLE[[#This Row],[SB]]=0, "-", BS_CONTROLE[[#This Row],[SB]])</f>
        <v>TVI239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239</v>
      </c>
      <c r="AQ268" s="168">
        <f>IF(BS_CONTROLE[[#This Row],[KM - Fim]]=0, "-", BS_CONTROLE[[#This Row],[KM - Fim]])</f>
        <v>242.02699999999999</v>
      </c>
      <c r="AR268" s="32">
        <v>0.3611111111111111</v>
      </c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 t="s">
        <v>1768</v>
      </c>
      <c r="BK268" s="14" t="s">
        <v>1769</v>
      </c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334</v>
      </c>
      <c r="E270" s="175">
        <v>308</v>
      </c>
      <c r="F270" s="133" t="s">
        <v>193</v>
      </c>
      <c r="G270" s="8" t="str">
        <f>IF(D270="","*",VLOOKUP(F270,BS_ATIVIDADE[#All],3,FALSE))</f>
        <v>SOLDA</v>
      </c>
      <c r="H270" s="134" t="s">
        <v>458</v>
      </c>
      <c r="I270" s="134" t="s">
        <v>11</v>
      </c>
      <c r="J270" s="150">
        <v>74</v>
      </c>
      <c r="K270" s="150">
        <v>225.33500000000001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1770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>
        <v>0.33680555555555558</v>
      </c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>
        <v>0</v>
      </c>
      <c r="BI270" s="14"/>
      <c r="BJ270" s="14" t="s">
        <v>1771</v>
      </c>
      <c r="BK270" s="14" t="s">
        <v>1772</v>
      </c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267</v>
      </c>
      <c r="E271" s="175">
        <v>309</v>
      </c>
      <c r="F271" s="133" t="s">
        <v>200</v>
      </c>
      <c r="G271" s="8" t="str">
        <f>IF(D271="","*",VLOOKUP(F271,BS_ATIVIDADE[#All],3,FALSE))</f>
        <v>TRILHO - SUBSTITUIÇÂO</v>
      </c>
      <c r="H271" s="134" t="s">
        <v>458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4.1666666666666664E-2</v>
      </c>
      <c r="Q271" s="71">
        <v>8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1773</v>
      </c>
      <c r="W271" s="134" t="s">
        <v>1302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0.43819444444444444</v>
      </c>
      <c r="AS271" s="32">
        <v>0.49652777777777779</v>
      </c>
      <c r="AT271" s="32">
        <v>0.52986111111111112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3.3333333333333326E-2</v>
      </c>
      <c r="AZ271" s="11"/>
      <c r="BA271" s="60">
        <v>8</v>
      </c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Adenilson</v>
      </c>
      <c r="BG271" s="13"/>
      <c r="BH271" s="14">
        <v>2</v>
      </c>
      <c r="BI271" s="14"/>
      <c r="BJ271" s="14" t="s">
        <v>1774</v>
      </c>
      <c r="BK271" s="14" t="s">
        <v>1775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28"/>
        <v>Intervalo</v>
      </c>
      <c r="BR271" s="15">
        <f t="shared" si="29"/>
        <v>0.79999999999999982</v>
      </c>
      <c r="BS271" s="15">
        <f t="shared" si="30"/>
        <v>1</v>
      </c>
      <c r="BT271" s="231" t="str">
        <f t="shared" si="31"/>
        <v>CCOCirculaçãoIntervaloOportunidade</v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239</v>
      </c>
      <c r="E272" s="175">
        <v>310</v>
      </c>
      <c r="F272" s="133" t="s">
        <v>100</v>
      </c>
      <c r="G272" s="8" t="str">
        <f>IF(D272="","*",VLOOKUP(F272,BS_ATIVIDADE[#All],3,FALSE))</f>
        <v>MECANIZAÇÃO - DOL</v>
      </c>
      <c r="H272" s="134" t="s">
        <v>417</v>
      </c>
      <c r="I272" s="134" t="s">
        <v>417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TIN</v>
      </c>
      <c r="AL272" s="166" t="str">
        <f>IF(BS_CONTROLE[[#This Row],[Local - Encerramento]]=0, "-", BS_CONTROLE[[#This Row],[Local - Encerramento]])</f>
        <v>TIN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>
        <v>0.3576388888888889</v>
      </c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>
        <v>0</v>
      </c>
      <c r="BI272" s="14"/>
      <c r="BJ272" s="14" t="s">
        <v>1776</v>
      </c>
      <c r="BK272" s="14" t="s">
        <v>1777</v>
      </c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240</v>
      </c>
      <c r="E273" s="175">
        <v>311</v>
      </c>
      <c r="F273" s="133" t="s">
        <v>148</v>
      </c>
      <c r="G273" s="8" t="str">
        <f>IF(D273="","*",VLOOKUP(F273,BS_ATIVIDADE[#All],3,FALSE))</f>
        <v>MODERNIZAÇÃO</v>
      </c>
      <c r="H273" s="134" t="s">
        <v>385</v>
      </c>
      <c r="I273" s="244" t="s">
        <v>385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>
        <v>1</v>
      </c>
      <c r="BI273" s="14"/>
      <c r="BJ273" s="14" t="s">
        <v>1778</v>
      </c>
      <c r="BK273" s="14" t="s">
        <v>1779</v>
      </c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158</v>
      </c>
      <c r="E276" s="175">
        <v>314</v>
      </c>
      <c r="F276" s="133" t="s">
        <v>25</v>
      </c>
      <c r="G276" s="8" t="str">
        <f>IF(D276="","*",VLOOKUP(F276,BS_ATIVIDADE[#All],3,FALSE))</f>
        <v>OUTROS</v>
      </c>
      <c r="H276" s="134" t="s">
        <v>791</v>
      </c>
      <c r="I276" s="134" t="s">
        <v>385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1780</v>
      </c>
      <c r="X276" s="151" t="s">
        <v>1005</v>
      </c>
      <c r="Y276" s="129"/>
      <c r="Z276" s="129"/>
      <c r="AA276" s="71" t="s">
        <v>1781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>
        <v>0</v>
      </c>
      <c r="AS276" s="32">
        <v>0</v>
      </c>
      <c r="AT276" s="32">
        <v>0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>
        <v>0</v>
      </c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>
        <v>0</v>
      </c>
      <c r="BI276" s="14"/>
      <c r="BJ276" s="14" t="s">
        <v>1782</v>
      </c>
      <c r="BK276" s="14" t="s">
        <v>1783</v>
      </c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13</v>
      </c>
      <c r="G278" s="8" t="str">
        <f>IF(D278="","*",VLOOKUP(F278,BS_ATIVIDADE[#All],3,FALSE))</f>
        <v>CAMINHÂO - SOLDA</v>
      </c>
      <c r="H278" s="134" t="s">
        <v>710</v>
      </c>
      <c r="I278" s="134" t="s">
        <v>11</v>
      </c>
      <c r="J278" s="150">
        <v>78</v>
      </c>
      <c r="K278" s="150">
        <v>176.7</v>
      </c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8.3333333333333329E-2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>
        <v>0.3923611111111111</v>
      </c>
      <c r="AS278" s="32">
        <v>0.43402777777777779</v>
      </c>
      <c r="AT278" s="32">
        <v>0.52222222222222225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8.8194444444444464E-2</v>
      </c>
      <c r="AZ278" s="11"/>
      <c r="BA278" s="60">
        <v>2</v>
      </c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>
        <v>2</v>
      </c>
      <c r="BI278" s="14"/>
      <c r="BJ278" s="14" t="s">
        <v>1784</v>
      </c>
      <c r="BK278" s="14" t="s">
        <v>1785</v>
      </c>
      <c r="BL278" s="13"/>
      <c r="BM278" s="12" t="s">
        <v>1022</v>
      </c>
      <c r="BN278" s="12" t="s">
        <v>1043</v>
      </c>
      <c r="BO278" s="130" t="s">
        <v>1150</v>
      </c>
      <c r="BP278" s="14"/>
      <c r="BQ278" s="10" t="str">
        <f t="shared" si="28"/>
        <v>Produção</v>
      </c>
      <c r="BR278" s="15">
        <f t="shared" si="29"/>
        <v>1.0583333333333336</v>
      </c>
      <c r="BS278" s="15">
        <f t="shared" si="30"/>
        <v>0.66666666666666663</v>
      </c>
      <c r="BT278" s="231" t="str">
        <f t="shared" si="31"/>
        <v>MecanizaçãoOperação</v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/>
      <c r="N279" s="148"/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 t="s">
        <v>11</v>
      </c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>V8646077</v>
      </c>
      <c r="B282" s="132">
        <v>46077</v>
      </c>
      <c r="C282" s="7">
        <f>IF(BS_CONTROLE[[#This Row],[DATA]]="","",WEEKNUM(BS_CONTROLE[[#This Row],[DATA]]))</f>
        <v>9</v>
      </c>
      <c r="D282" s="45" t="s">
        <v>217</v>
      </c>
      <c r="E282" s="175">
        <v>320</v>
      </c>
      <c r="F282" s="133" t="s">
        <v>116</v>
      </c>
      <c r="G282" s="8" t="str">
        <f>IF(D282="","*",VLOOKUP(F282,BS_ATIVIDADE[#All],3,FALSE))</f>
        <v>MECANIZAÇÃO - SOCADORA</v>
      </c>
      <c r="H282" s="134" t="s">
        <v>1575</v>
      </c>
      <c r="I282" s="134" t="s">
        <v>617</v>
      </c>
      <c r="J282" s="150">
        <v>98</v>
      </c>
      <c r="K282" s="150">
        <v>659.976</v>
      </c>
      <c r="L282" s="71">
        <v>662.91099999999994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2" s="148" t="s">
        <v>634</v>
      </c>
      <c r="O282" s="134">
        <v>0.4375</v>
      </c>
      <c r="P282" s="134">
        <v>0.125</v>
      </c>
      <c r="Q282" s="71">
        <v>1680</v>
      </c>
      <c r="R282" s="9" t="str">
        <f>IFERROR(_xlfn.XLOOKUP(F282, BS_ATIVIDADE[ATIVIDADE],BS_ATIVIDADE[UNIDADE] ), "*")</f>
        <v>M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2" s="188" t="str">
        <f>IFERROR(_xlfn.XLOOKUP(J282, BASE_MAPA!$B$2:$B$420, BASE_MAPA!$G$2:$G$420), "ERRO")</f>
        <v>ALTO ARAGUAIA - RONDONOPOLIS</v>
      </c>
      <c r="V282" s="142" t="s">
        <v>1274</v>
      </c>
      <c r="W282" s="134" t="s">
        <v>1275</v>
      </c>
      <c r="X282" s="151" t="s">
        <v>1000</v>
      </c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MECANIZAÇÃO - SOCADORA</v>
      </c>
      <c r="AJ282" s="8" t="str">
        <f>IF(D282="","*",VLOOKUP(AI282,BS_ATIVIDADE[#Data],3,FALSE))</f>
        <v>MECANIZAÇÃO - SOCADORA</v>
      </c>
      <c r="AK282" s="166" t="str">
        <f>IF(BS_CONTROLE[[#This Row],[Local - Partida]]=0, "-", BS_CONTROLE[[#This Row],[Local - Partida]])</f>
        <v xml:space="preserve">TIQ </v>
      </c>
      <c r="AL282" s="166" t="str">
        <f>IF(BS_CONTROLE[[#This Row],[Local - Encerramento]]=0, "-", BS_CONTROLE[[#This Row],[Local - Encerramento]])</f>
        <v>TIQ</v>
      </c>
      <c r="AM282" s="166" t="str">
        <f>IF(BS_CONTROLE[[#This Row],[Entre - Estações]]=0, "-", BS_CONTROLE[[#This Row],[Entre - Estações]])</f>
        <v>TBS</v>
      </c>
      <c r="AN282" s="166" t="str">
        <f>IF(BS_CONTROLE[[#This Row],[SB]]=0, "-", BS_CONTROLE[[#This Row],[SB]])</f>
        <v>TBS2</v>
      </c>
      <c r="AO282" s="167">
        <f>IF(BS_CONTROLE[[#This Row],[SUB]]=0, "-", BS_CONTROLE[[#This Row],[SUB]])</f>
        <v>98</v>
      </c>
      <c r="AP282" s="168">
        <f>IF(BS_CONTROLE[[#This Row],[KM - Inicio]]=0, "-", BS_CONTROLE[[#This Row],[KM - Inicio]])</f>
        <v>659.976</v>
      </c>
      <c r="AQ282" s="168">
        <f>IF(BS_CONTROLE[[#This Row],[KM - Fim]]=0, "-", BS_CONTROLE[[#This Row],[KM - Fim]])</f>
        <v>662.91099999999994</v>
      </c>
      <c r="AR282" s="32"/>
      <c r="AS282" s="32"/>
      <c r="AT282" s="32"/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/>
      <c r="BB282" s="9" t="str">
        <f>IFERROR(_xlfn.XLOOKUP(AI282, BS_ATIVIDADE[ATIVIDADE],BS_ATIVIDADE[UNIDADE] ), "*")</f>
        <v>M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2" s="189" t="str">
        <f>IFERROR(_xlfn.XLOOKUP(AO282, BASE_MAPA!$B$2:$B$420, BASE_MAPA!$G$2:$G$420), "ERRO")</f>
        <v>ALTO ARAGUAIA - RONDONOPOLIS</v>
      </c>
      <c r="BF282" s="169" t="str">
        <f>IF(BS_CONTROLE[[#This Row],[Responsavel pelo boletim]]=0, "-", BS_CONTROLE[[#This Row],[Responsavel pelo boletim]])</f>
        <v>Antonioni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Produção e Intervalo</v>
      </c>
      <c r="BR282" s="15">
        <f t="shared" si="29"/>
        <v>0</v>
      </c>
      <c r="BS282" s="15">
        <f t="shared" si="30"/>
        <v>0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>BRUNO (TF-525)46077</v>
      </c>
      <c r="B284" s="132">
        <v>46077</v>
      </c>
      <c r="C284" s="7">
        <f>IF(BS_CONTROLE[[#This Row],[DATA]]="","",WEEKNUM(BS_CONTROLE[[#This Row],[DATA]]))</f>
        <v>9</v>
      </c>
      <c r="D284" s="45" t="s">
        <v>278</v>
      </c>
      <c r="E284" s="175">
        <v>322</v>
      </c>
      <c r="F284" s="133" t="s">
        <v>193</v>
      </c>
      <c r="G284" s="8" t="str">
        <f>IF(D284="","*",VLOOKUP(F284,BS_ATIVIDADE[#All],3,FALSE))</f>
        <v>SOLDA</v>
      </c>
      <c r="H284" s="148" t="s">
        <v>1786</v>
      </c>
      <c r="I284" s="134" t="s">
        <v>11</v>
      </c>
      <c r="J284" s="150">
        <v>98</v>
      </c>
      <c r="K284" s="150">
        <v>548.20000000000005</v>
      </c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84" s="148" t="s">
        <v>1786</v>
      </c>
      <c r="O284" s="134">
        <v>0.375</v>
      </c>
      <c r="P284" s="134">
        <v>6.25E-2</v>
      </c>
      <c r="Q284" s="71">
        <v>1</v>
      </c>
      <c r="R284" s="9" t="str">
        <f>IFERROR(_xlfn.XLOOKUP(F284, BS_ATIVIDADE[ATIVIDADE],BS_ATIVIDADE[UNIDADE] ), "*")</f>
        <v>Nº DE SOLDA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188" t="str">
        <f>IFERROR(_xlfn.XLOOKUP(J284, BASE_MAPA!$B$2:$B$420, BASE_MAPA!$G$2:$G$420), "ERRO")</f>
        <v>ALTO ARAGUAIA - RONDONOPOLIS</v>
      </c>
      <c r="V284" s="142" t="s">
        <v>1317</v>
      </c>
      <c r="W284" s="134" t="s">
        <v>1787</v>
      </c>
      <c r="X284" s="151" t="s">
        <v>1005</v>
      </c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PDM - SOLDA</v>
      </c>
      <c r="AJ284" s="8" t="str">
        <f>IF(D284="","*",VLOOKUP(AI284,BS_ATIVIDADE[#Data],3,FALSE))</f>
        <v>SOLDA</v>
      </c>
      <c r="AK284" s="166" t="str">
        <f>IF(BS_CONTROLE[[#This Row],[Local - Partida]]=0, "-", BS_CONTROLE[[#This Row],[Local - Partida]])</f>
        <v>TRMSUL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TRM</v>
      </c>
      <c r="AN284" s="166" t="str">
        <f>IF(BS_CONTROLE[[#This Row],[SB]]=0, "-", BS_CONTROLE[[#This Row],[SB]])</f>
        <v>TRMSUL</v>
      </c>
      <c r="AO284" s="167">
        <f>IF(BS_CONTROLE[[#This Row],[SUB]]=0, "-", BS_CONTROLE[[#This Row],[SUB]])</f>
        <v>98</v>
      </c>
      <c r="AP284" s="168">
        <f>IF(BS_CONTROLE[[#This Row],[KM - Inicio]]=0, "-", BS_CONTROLE[[#This Row],[KM - Inicio]])</f>
        <v>548.20000000000005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>
        <f>IF(D284="","*",IFERROR(IF(ISODD(COUNT(AS284:AX284)),"ERRO",SUM((AT284-AS284),(AV284-AU284),(AX284-AW284))),"ERRO"))</f>
        <v>0</v>
      </c>
      <c r="AZ284" s="11"/>
      <c r="BA284" s="60"/>
      <c r="BB284" s="9" t="str">
        <f>IFERROR(_xlfn.XLOOKUP(AI284, BS_ATIVIDADE[ATIVIDADE],BS_ATIVIDADE[UNIDADE] ), "*")</f>
        <v>Nº DE SOLDA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89" t="str">
        <f>IFERROR(_xlfn.XLOOKUP(AO284, BASE_MAPA!$B$2:$B$420, BASE_MAPA!$G$2:$G$420), "ERRO")</f>
        <v>ALTO ARAGUAIA - RONDONOPOLIS</v>
      </c>
      <c r="BF284" s="169" t="str">
        <f>IF(BS_CONTROLE[[#This Row],[Responsavel pelo boletim]]=0, "-", BS_CONTROLE[[#This Row],[Responsavel pelo boletim]])</f>
        <v>Bruno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Produção e Intervalo</v>
      </c>
      <c r="BR284" s="15">
        <f t="shared" ref="BR284:BR347" si="34">IF(OR(B284="",F284=""),"*",AY284/P284)</f>
        <v>0</v>
      </c>
      <c r="BS284" s="15">
        <f t="shared" ref="BS284:BS347" si="35">IF(OR(B284="",F284=""),"*",BA284/Q284)</f>
        <v>0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>N7046077</v>
      </c>
      <c r="B288" s="132">
        <v>46077</v>
      </c>
      <c r="C288" s="7">
        <f>IF(BS_CONTROLE[[#This Row],[DATA]]="","",WEEKNUM(BS_CONTROLE[[#This Row],[DATA]]))</f>
        <v>9</v>
      </c>
      <c r="D288" s="45" t="s">
        <v>1788</v>
      </c>
      <c r="E288" s="175">
        <v>326</v>
      </c>
      <c r="F288" s="133" t="s">
        <v>25</v>
      </c>
      <c r="G288" s="8" t="str">
        <f>IF(D288="","*",VLOOKUP(F288,BS_ATIVIDADE[#All],3,FALSE))</f>
        <v>OUTROS</v>
      </c>
      <c r="H288" s="134" t="s">
        <v>539</v>
      </c>
      <c r="I288" s="134" t="s">
        <v>1293</v>
      </c>
      <c r="J288" s="150">
        <v>74</v>
      </c>
      <c r="K288" s="150">
        <v>404</v>
      </c>
      <c r="L288" s="71" t="s">
        <v>11</v>
      </c>
      <c r="M288" s="148" t="s">
        <v>1789</v>
      </c>
      <c r="N288" s="148" t="s">
        <v>1790</v>
      </c>
      <c r="O288" s="134">
        <v>0.625</v>
      </c>
      <c r="P288" s="134">
        <v>4.1666666666666664E-2</v>
      </c>
      <c r="Q288" s="71">
        <v>1</v>
      </c>
      <c r="R288" s="9" t="str">
        <f>IFERROR(_xlfn.XLOOKUP(F288, BS_ATIVIDADE[ATIVIDADE],BS_ATIVIDADE[UNIDADE] ), "*")</f>
        <v>BINÁRIO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188" t="str">
        <f>IFERROR(_xlfn.XLOOKUP(J288, BASE_MAPA!$B$2:$B$420, BASE_MAPA!$G$2:$G$420), "ERRO")</f>
        <v>MARCO INICIAL - ALTO ARAGUAIA</v>
      </c>
      <c r="V288" s="142" t="s">
        <v>1566</v>
      </c>
      <c r="W288" s="134" t="s">
        <v>1791</v>
      </c>
      <c r="X288" s="151" t="s">
        <v>1005</v>
      </c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DESLOCAMENTO</v>
      </c>
      <c r="AJ288" s="8" t="str">
        <f>IF(D288="","*",VLOOKUP(AI288,BS_ATIVIDADE[#Data],3,FALSE))</f>
        <v>OUTROS</v>
      </c>
      <c r="AK288" s="166" t="str">
        <f>IF(BS_CONTROLE[[#This Row],[Local - Partida]]=0, "-", BS_CONTROLE[[#This Row],[Local - Partida]])</f>
        <v>TOM</v>
      </c>
      <c r="AL288" s="166" t="str">
        <f>IF(BS_CONTROLE[[#This Row],[Local - Encerramento]]=0, "-", BS_CONTROLE[[#This Row],[Local - Encerramento]])</f>
        <v>TAG</v>
      </c>
      <c r="AM288" s="166" t="str">
        <f>IF(BS_CONTROLE[[#This Row],[Entre - Estações]]=0, "-", BS_CONTROLE[[#This Row],[Entre - Estações]])</f>
        <v>TOM-TAG</v>
      </c>
      <c r="AN288" s="166" t="str">
        <f>IF(BS_CONTROLE[[#This Row],[SB]]=0, "-", BS_CONTROLE[[#This Row],[SB]])</f>
        <v>TOMTAG</v>
      </c>
      <c r="AO288" s="167">
        <f>IF(BS_CONTROLE[[#This Row],[SUB]]=0, "-", BS_CONTROLE[[#This Row],[SUB]])</f>
        <v>74</v>
      </c>
      <c r="AP288" s="168">
        <f>IF(BS_CONTROLE[[#This Row],[KM - Inicio]]=0, "-", BS_CONTROLE[[#This Row],[KM - Inicio]])</f>
        <v>404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BINÁRIO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89" t="str">
        <f>IFERROR(_xlfn.XLOOKUP(AO288, BASE_MAPA!$B$2:$B$420, BASE_MAPA!$G$2:$G$420), "ERRO")</f>
        <v>MARCO INICIAL - ALTO ARAGUAIA</v>
      </c>
      <c r="BF288" s="169" t="str">
        <f>IF(BS_CONTROLE[[#This Row],[Responsavel pelo boletim]]=0, "-", BS_CONTROLE[[#This Row],[Responsavel pelo boletim]])</f>
        <v>Elton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>MARCOS (TF-520)46077</v>
      </c>
      <c r="B291" s="132">
        <v>46077</v>
      </c>
      <c r="C291" s="7">
        <f>IF(BS_CONTROLE[[#This Row],[DATA]]="","",WEEKNUM(BS_CONTROLE[[#This Row],[DATA]]))</f>
        <v>9</v>
      </c>
      <c r="D291" s="45" t="s">
        <v>334</v>
      </c>
      <c r="E291" s="175">
        <v>329</v>
      </c>
      <c r="F291" s="133" t="s">
        <v>193</v>
      </c>
      <c r="G291" s="8" t="str">
        <f>IF(D291="","*",VLOOKUP(F291,BS_ATIVIDADE[#All],3,FALSE))</f>
        <v>SOLDA</v>
      </c>
      <c r="H291" s="148" cm="1">
        <f t="array" ref="H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91" s="134" t="s">
        <v>11</v>
      </c>
      <c r="J291" s="150">
        <v>74</v>
      </c>
      <c r="K291" s="150">
        <v>242.202</v>
      </c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0.125</v>
      </c>
      <c r="Q291" s="71">
        <v>2</v>
      </c>
      <c r="R291" s="9" t="str">
        <f>IFERROR(_xlfn.XLOOKUP(F291, BS_ATIVIDADE[ATIVIDADE],BS_ATIVIDADE[UNIDADE] ), "*")</f>
        <v>Nº DE SOLDA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1328</v>
      </c>
      <c r="W291" s="134" t="s">
        <v>1318</v>
      </c>
      <c r="X291" s="151" t="s">
        <v>1005</v>
      </c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PDM - SOLDA</v>
      </c>
      <c r="AJ291" s="8" t="str">
        <f>IF(D291="","*",VLOOKUP(AI291,BS_ATIVIDADE[#Data],3,FALSE))</f>
        <v>SOLDA</v>
      </c>
      <c r="AK291" s="166">
        <f>IF(BS_CONTROLE[[#This Row],[Local - Partida]]=0, "-", BS_CONTROLE[[#This Row],[Local - Partida]])</f>
        <v>239251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242.202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Nº DE SOLDA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Marcos Euzebio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V4846077</v>
      </c>
      <c r="B293" s="132">
        <v>46077</v>
      </c>
      <c r="C293" s="7">
        <f>IF(BS_CONTROLE[[#This Row],[DATA]]="","",WEEKNUM(BS_CONTROLE[[#This Row],[DATA]]))</f>
        <v>9</v>
      </c>
      <c r="D293" s="45" t="s">
        <v>183</v>
      </c>
      <c r="E293" s="175">
        <v>331</v>
      </c>
      <c r="F293" s="133" t="s">
        <v>142</v>
      </c>
      <c r="G293" s="8" t="str">
        <f>IF(D293="","*",VLOOKUP(F293,BS_ATIVIDADE[#All],3,FALSE))</f>
        <v>MODERNIZAÇÃO</v>
      </c>
      <c r="H293" s="148" t="s">
        <v>458</v>
      </c>
      <c r="I293" s="134" t="s">
        <v>457</v>
      </c>
      <c r="J293" s="150">
        <v>74</v>
      </c>
      <c r="K293" s="150">
        <v>237.827</v>
      </c>
      <c r="L293" s="71">
        <v>239.227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93" s="134">
        <v>0.375</v>
      </c>
      <c r="P293" s="134">
        <v>8.3333333333333329E-2</v>
      </c>
      <c r="Q293" s="71">
        <v>1400</v>
      </c>
      <c r="R293" s="9" t="str">
        <f>IFERROR(_xlfn.XLOOKUP(F293, BS_ATIVIDADE[ATIVIDADE],BS_ATIVIDADE[UNIDADE] ), "*")</f>
        <v>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1275</v>
      </c>
      <c r="X293" s="151" t="s">
        <v>1005</v>
      </c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MODERNIZAÇÃO - SOCADORA</v>
      </c>
      <c r="AJ293" s="8" t="str">
        <f>IF(D293="","*",VLOOKUP(AI293,BS_ATIVIDADE[#Data],3,FALSE))</f>
        <v>MODERNIZAÇÃO</v>
      </c>
      <c r="AK293" s="166" t="str">
        <f>IF(BS_CONTROLE[[#This Row],[Local - Partida]]=0, "-", BS_CONTROLE[[#This Row],[Local - Partida]])</f>
        <v>TVI1</v>
      </c>
      <c r="AL293" s="166" t="str">
        <f>IF(BS_CONTROLE[[#This Row],[Local - Encerramento]]=0, "-", BS_CONTROLE[[#This Row],[Local - Encerramento]])</f>
        <v>TVI</v>
      </c>
      <c r="AM293" s="166" t="str">
        <f>IF(BS_CONTROLE[[#This Row],[Entre - Estações]]=0, "-", BS_CONTROLE[[#This Row],[Entre - Estações]])</f>
        <v>TVI-TJA</v>
      </c>
      <c r="AN293" s="166" t="str">
        <f>IF(BS_CONTROLE[[#This Row],[SB]]=0, "-", BS_CONTROLE[[#This Row],[SB]])</f>
        <v>TVI239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237.827</v>
      </c>
      <c r="AQ293" s="168">
        <f>IF(BS_CONTROLE[[#This Row],[KM - Fim]]=0, "-", BS_CONTROLE[[#This Row],[KM - Fim]])</f>
        <v>239.227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W4846077</v>
      </c>
      <c r="B295" s="132">
        <v>46077</v>
      </c>
      <c r="C295" s="7">
        <f>IF(BS_CONTROLE[[#This Row],[DATA]]="","",WEEKNUM(BS_CONTROLE[[#This Row],[DATA]]))</f>
        <v>9</v>
      </c>
      <c r="D295" s="45" t="s">
        <v>239</v>
      </c>
      <c r="E295" s="175">
        <v>333</v>
      </c>
      <c r="F295" s="133" t="s">
        <v>100</v>
      </c>
      <c r="G295" s="8" t="str">
        <f>IF(D295="","*",VLOOKUP(F295,BS_ATIVIDADE[#All],3,FALSE))</f>
        <v>MECANIZAÇÃO - DOL</v>
      </c>
      <c r="H295" s="134" t="s">
        <v>417</v>
      </c>
      <c r="I295" s="134" t="s">
        <v>417</v>
      </c>
      <c r="J295" s="150">
        <v>74</v>
      </c>
      <c r="K295" s="150">
        <v>104.8</v>
      </c>
      <c r="L295" s="71">
        <v>100.7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95" s="134">
        <v>0.375</v>
      </c>
      <c r="P295" s="134">
        <v>0.16666666666666666</v>
      </c>
      <c r="Q295" s="71">
        <v>4000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1514</v>
      </c>
      <c r="W295" s="134" t="s">
        <v>1515</v>
      </c>
      <c r="X295" s="151" t="s">
        <v>1000</v>
      </c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MECANIZAÇÃO - DOL</v>
      </c>
      <c r="AJ295" s="8" t="str">
        <f>IF(D295="","*",VLOOKUP(AI295,BS_ATIVIDADE[#Data],3,FALSE))</f>
        <v>MECANIZAÇÃO - DOL</v>
      </c>
      <c r="AK295" s="166" t="str">
        <f>IF(BS_CONTROLE[[#This Row],[Local - Partida]]=0, "-", BS_CONTROLE[[#This Row],[Local - Partida]])</f>
        <v>TIN</v>
      </c>
      <c r="AL295" s="166" t="str">
        <f>IF(BS_CONTROLE[[#This Row],[Local - Encerramento]]=0, "-", BS_CONTROLE[[#This Row],[Local - Encerramento]])</f>
        <v>TIN</v>
      </c>
      <c r="AM295" s="166" t="str">
        <f>IF(BS_CONTROLE[[#This Row],[Entre - Estações]]=0, "-", BS_CONTROLE[[#This Row],[Entre - Estações]])</f>
        <v>TSP-TIN</v>
      </c>
      <c r="AN295" s="166" t="str">
        <f>IF(BS_CONTROLE[[#This Row],[SB]]=0, "-", BS_CONTROLE[[#This Row],[SB]])</f>
        <v>K97TIN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104.8</v>
      </c>
      <c r="AQ295" s="168">
        <f>IF(BS_CONTROLE[[#This Row],[KM - Fim]]=0, "-", BS_CONTROLE[[#This Row],[KM - Fim]])</f>
        <v>100.7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Rodrigo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W5046077</v>
      </c>
      <c r="B297" s="132">
        <v>46077</v>
      </c>
      <c r="C297" s="7">
        <f>IF(BS_CONTROLE[[#This Row],[DATA]]="","",WEEKNUM(BS_CONTROLE[[#This Row],[DATA]]))</f>
        <v>9</v>
      </c>
      <c r="D297" s="45" t="s">
        <v>240</v>
      </c>
      <c r="E297" s="175">
        <v>335</v>
      </c>
      <c r="F297" s="133" t="s">
        <v>148</v>
      </c>
      <c r="G297" s="8" t="str">
        <f>IF(D297="","*",VLOOKUP(F297,BS_ATIVIDADE[#All],3,FALSE))</f>
        <v>MODERNIZAÇÃO</v>
      </c>
      <c r="H297" s="134" t="s">
        <v>385</v>
      </c>
      <c r="I297" s="134" t="s">
        <v>385</v>
      </c>
      <c r="J297" s="150">
        <v>74</v>
      </c>
      <c r="K297" s="150">
        <v>62.2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97" s="148" t="s">
        <v>406</v>
      </c>
      <c r="O297" s="134">
        <v>0.35416666666666669</v>
      </c>
      <c r="P297" s="134">
        <v>0.125</v>
      </c>
      <c r="Q297" s="71">
        <v>500</v>
      </c>
      <c r="R297" s="9" t="str">
        <f>IFERROR(_xlfn.XLOOKUP(F297, BS_ATIVIDADE[ATIVIDADE],BS_ATIVIDADE[UNIDADE] ), "*")</f>
        <v>Nº DE DORMENTES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1361</v>
      </c>
      <c r="W297" s="134" t="s">
        <v>1792</v>
      </c>
      <c r="X297" s="151" t="s">
        <v>1000</v>
      </c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MODERNIZAÇÃO - RECOLHIMENTO DE DORMENTE</v>
      </c>
      <c r="AJ297" s="8" t="str">
        <f>IF(D297="","*",VLOOKUP(AI297,BS_ATIVIDADE[#Data],3,FALSE))</f>
        <v>MODERNIZAÇÃO</v>
      </c>
      <c r="AK297" s="166" t="str">
        <f>IF(BS_CONTROLE[[#This Row],[Local - Partida]]=0, "-", BS_CONTROLE[[#This Row],[Local - Partida]])</f>
        <v>TAP</v>
      </c>
      <c r="AL297" s="166" t="str">
        <f>IF(BS_CONTROLE[[#This Row],[Local - Encerramento]]=0, "-", BS_CONTROLE[[#This Row],[Local - Encerramento]])</f>
        <v>TAP</v>
      </c>
      <c r="AM297" s="166" t="str">
        <f>IF(BS_CONTROLE[[#This Row],[Entre - Estações]]=0, "-", BS_CONTROLE[[#This Row],[Entre - Estações]])</f>
        <v>TQI-TSP</v>
      </c>
      <c r="AN297" s="166" t="str">
        <f>IF(BS_CONTROLE[[#This Row],[SB]]=0, "-", BS_CONTROLE[[#This Row],[SB]])</f>
        <v>TQIPAT2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62.2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DORMENTES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Augusto/ Efraim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A6046077</v>
      </c>
      <c r="B299" s="132">
        <v>46077</v>
      </c>
      <c r="C299" s="7">
        <f>IF(BS_CONTROLE[[#This Row],[DATA]]="","",WEEKNUM(BS_CONTROLE[[#This Row],[DATA]]))</f>
        <v>9</v>
      </c>
      <c r="D299" s="45" t="s">
        <v>106</v>
      </c>
      <c r="E299" s="175">
        <v>337</v>
      </c>
      <c r="F299" s="133" t="s">
        <v>32</v>
      </c>
      <c r="G299" s="8" t="str">
        <f>IF(D299="","*",VLOOKUP(F299,BS_ATIVIDADE[#All],3,FALSE))</f>
        <v>DETECÇÃO</v>
      </c>
      <c r="H299" s="134" t="s">
        <v>1365</v>
      </c>
      <c r="I299" s="134" t="s">
        <v>425</v>
      </c>
      <c r="J299" s="150">
        <v>74</v>
      </c>
      <c r="K299" s="150">
        <v>0</v>
      </c>
      <c r="L299" s="71">
        <v>125.538</v>
      </c>
      <c r="M299" s="148" t="s">
        <v>1793</v>
      </c>
      <c r="N299" s="148" t="s">
        <v>1794</v>
      </c>
      <c r="O299" s="134">
        <v>0.33333333333333331</v>
      </c>
      <c r="P299" s="134">
        <v>4.1666666666666664E-2</v>
      </c>
      <c r="Q299" s="71">
        <v>125</v>
      </c>
      <c r="R299" s="9" t="str">
        <f>IFERROR(_xlfn.XLOOKUP(F299, BS_ATIVIDADE[ATIVIDADE],BS_ATIVIDADE[UNIDADE] ), "*")</f>
        <v>KM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1298</v>
      </c>
      <c r="W299" s="134" t="s">
        <v>1367</v>
      </c>
      <c r="X299" s="151" t="s">
        <v>1005</v>
      </c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DETECÇÃO - RONDA 7 DIAS</v>
      </c>
      <c r="AJ299" s="8" t="str">
        <f>IF(D299="","*",VLOOKUP(AI299,BS_ATIVIDADE[#Data],3,FALSE))</f>
        <v>DETECÇÃO</v>
      </c>
      <c r="AK299" s="166" t="str">
        <f>IF(BS_CONTROLE[[#This Row],[Local - Partida]]=0, "-", BS_CONTROLE[[#This Row],[Local - Partida]])</f>
        <v>TMI</v>
      </c>
      <c r="AL299" s="166" t="str">
        <f>IF(BS_CONTROLE[[#This Row],[Local - Encerramento]]=0, "-", BS_CONTROLE[[#This Row],[Local - Encerramento]])</f>
        <v>TSJ</v>
      </c>
      <c r="AM299" s="166" t="str">
        <f>IF(BS_CONTROLE[[#This Row],[Entre - Estações]]=0, "-", BS_CONTROLE[[#This Row],[Entre - Estações]])</f>
        <v>TMI-TIN</v>
      </c>
      <c r="AN299" s="166" t="str">
        <f>IF(BS_CONTROLE[[#This Row],[SB]]=0, "-", BS_CONTROLE[[#This Row],[SB]])</f>
        <v>TMITIN</v>
      </c>
      <c r="AO299" s="167">
        <f>IF(BS_CONTROLE[[#This Row],[SUB]]=0, "-", BS_CONTROLE[[#This Row],[SUB]])</f>
        <v>74</v>
      </c>
      <c r="AP299" s="168" t="str">
        <f>IF(BS_CONTROLE[[#This Row],[KM - Inicio]]=0, "-", BS_CONTROLE[[#This Row],[KM - Inicio]])</f>
        <v>-</v>
      </c>
      <c r="AQ299" s="168">
        <f>IF(BS_CONTROLE[[#This Row],[KM - Fim]]=0, "-", BS_CONTROLE[[#This Row],[KM - Fim]])</f>
        <v>125.538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KM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Herbert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E1846077</v>
      </c>
      <c r="B301" s="132">
        <v>46077</v>
      </c>
      <c r="C301" s="7">
        <f>IF(BS_CONTROLE[[#This Row],[DATA]]="","",WEEKNUM(BS_CONTROLE[[#This Row],[DATA]]))</f>
        <v>9</v>
      </c>
      <c r="D301" s="45" t="s">
        <v>1629</v>
      </c>
      <c r="E301" s="175">
        <v>339</v>
      </c>
      <c r="F301" s="133" t="s">
        <v>13</v>
      </c>
      <c r="G301" s="8" t="str">
        <f>IF(D301="","*",VLOOKUP(F301,BS_ATIVIDADE[#All],3,FALSE))</f>
        <v>CAMINHÂO - SOLDA</v>
      </c>
      <c r="H301" s="148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01" s="134" t="s">
        <v>11</v>
      </c>
      <c r="J301" s="150">
        <v>78</v>
      </c>
      <c r="K301" s="150">
        <v>177.22</v>
      </c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1" s="134">
        <v>0.35416666666666669</v>
      </c>
      <c r="P301" s="134">
        <v>0.125</v>
      </c>
      <c r="Q301" s="71">
        <v>4</v>
      </c>
      <c r="R301" s="9" t="str">
        <f>IFERROR(_xlfn.XLOOKUP(F301, BS_ATIVIDADE[ATIVIDADE],BS_ATIVIDADE[UNIDADE] ), "*")</f>
        <v>Nº DE SOLDA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1" s="188" t="str">
        <f>IFERROR(_xlfn.XLOOKUP(J301, BASE_MAPA!$B$2:$B$420, BASE_MAPA!$G$2:$G$420), "ERRO")</f>
        <v>ITIRAPINA - BAURU</v>
      </c>
      <c r="V301" s="142" t="s">
        <v>1630</v>
      </c>
      <c r="W301" s="134" t="s">
        <v>1631</v>
      </c>
      <c r="X301" s="151" t="s">
        <v>1005</v>
      </c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CAMINHÃO DE SOLDA</v>
      </c>
      <c r="AJ301" s="8" t="str">
        <f>IF(D301="","*",VLOOKUP(AI301,BS_ATIVIDADE[#Data],3,FALSE))</f>
        <v>CAMINHÂO - SOLDA</v>
      </c>
      <c r="AK301" s="166" t="str">
        <f>IF(BS_CONTROLE[[#This Row],[Local - Partida]]=0, "-", BS_CONTROLE[[#This Row],[Local - Partida]])</f>
        <v>ZIQZQY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ZIQ-ZQY</v>
      </c>
      <c r="AN301" s="166" t="str">
        <f>IF(BS_CONTROLE[[#This Row],[SB]]=0, "-", BS_CONTROLE[[#This Row],[SB]])</f>
        <v>ZIQZQY</v>
      </c>
      <c r="AO301" s="167">
        <f>IF(BS_CONTROLE[[#This Row],[SUB]]=0, "-", BS_CONTROLE[[#This Row],[SUB]])</f>
        <v>78</v>
      </c>
      <c r="AP301" s="168">
        <f>IF(BS_CONTROLE[[#This Row],[KM - Inicio]]=0, "-", BS_CONTROLE[[#This Row],[KM - Inicio]])</f>
        <v>177.22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Nº DE SOLDA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1" s="189" t="str">
        <f>IFERROR(_xlfn.XLOOKUP(AO301, BASE_MAPA!$B$2:$B$420, BASE_MAPA!$G$2:$G$420), "ERRO")</f>
        <v>ITIRAPINA - BAURU</v>
      </c>
      <c r="BF301" s="169" t="str">
        <f>IF(BS_CONTROLE[[#This Row],[Responsavel pelo boletim]]=0, "-", BS_CONTROLE[[#This Row],[Responsavel pelo boletim]])</f>
        <v>Higor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A8846077</v>
      </c>
      <c r="B303" s="132">
        <v>46077</v>
      </c>
      <c r="C303" s="7">
        <f>IF(BS_CONTROLE[[#This Row],[DATA]]="","",WEEKNUM(BS_CONTROLE[[#This Row],[DATA]]))</f>
        <v>9</v>
      </c>
      <c r="D303" s="45" t="s">
        <v>143</v>
      </c>
      <c r="E303" s="175">
        <v>341</v>
      </c>
      <c r="F303" s="133" t="s">
        <v>84</v>
      </c>
      <c r="G303" s="8" t="str">
        <f>IF(D303="","*",VLOOKUP(F303,BS_ATIVIDADE[#All],3,FALSE))</f>
        <v>OUTROS</v>
      </c>
      <c r="H303" s="134" t="s">
        <v>751</v>
      </c>
      <c r="I303" s="134" t="s">
        <v>716</v>
      </c>
      <c r="J303" s="150">
        <v>78</v>
      </c>
      <c r="K303" s="150">
        <v>251</v>
      </c>
      <c r="L303" s="71">
        <v>189</v>
      </c>
      <c r="M303" s="148" t="s">
        <v>1795</v>
      </c>
      <c r="N303" s="148" t="s">
        <v>1796</v>
      </c>
      <c r="O303" s="134">
        <v>0.375</v>
      </c>
      <c r="P303" s="134">
        <v>4.1666666666666664E-2</v>
      </c>
      <c r="Q303" s="71">
        <v>1</v>
      </c>
      <c r="R303" s="9" t="str">
        <f>IFERROR(_xlfn.XLOOKUP(F303, BS_ATIVIDADE[ATIVIDADE],BS_ATIVIDADE[UNIDADE] ), "*")</f>
        <v>BINÁRIO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1625</v>
      </c>
      <c r="W303" s="134" t="s">
        <v>1521</v>
      </c>
      <c r="X303" s="151" t="s">
        <v>1005</v>
      </c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INSPEÇÃO AUTO DE LINHA</v>
      </c>
      <c r="AJ303" s="8" t="str">
        <f>IF(D303="","*",VLOOKUP(AI303,BS_ATIVIDADE[#Data],3,FALSE))</f>
        <v>OUTROS</v>
      </c>
      <c r="AK303" s="166" t="str">
        <f>IF(BS_CONTROLE[[#This Row],[Local - Partida]]=0, "-", BS_CONTROLE[[#This Row],[Local - Partida]])</f>
        <v>ZDK</v>
      </c>
      <c r="AL303" s="166" t="str">
        <f>IF(BS_CONTROLE[[#This Row],[Local - Encerramento]]=0, "-", BS_CONTROLE[[#This Row],[Local - Encerramento]])</f>
        <v>ZFH</v>
      </c>
      <c r="AM303" s="166" t="str">
        <f>IF(BS_CONTROLE[[#This Row],[Entre - Estações]]=0, "-", BS_CONTROLE[[#This Row],[Entre - Estações]])</f>
        <v>ZDK-ZFH</v>
      </c>
      <c r="AN303" s="166" t="str">
        <f>IF(BS_CONTROLE[[#This Row],[SB]]=0, "-", BS_CONTROLE[[#This Row],[SB]])</f>
        <v>ZDKZFH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251</v>
      </c>
      <c r="AQ303" s="168">
        <f>IF(BS_CONTROLE[[#This Row],[KM - Fim]]=0, "-", BS_CONTROLE[[#This Row],[KM - Fim]])</f>
        <v>189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BINÁRIO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Josimar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>E4646077</v>
      </c>
      <c r="B304" s="132">
        <v>46077</v>
      </c>
      <c r="C304" s="7">
        <f>IF(BS_CONTROLE[[#This Row],[DATA]]="","",WEEKNUM(BS_CONTROLE[[#This Row],[DATA]]))</f>
        <v>9</v>
      </c>
      <c r="D304" s="45" t="s">
        <v>158</v>
      </c>
      <c r="E304" s="175">
        <v>342</v>
      </c>
      <c r="F304" s="133" t="s">
        <v>25</v>
      </c>
      <c r="G304" s="8" t="str">
        <f>IF(D304="","*",VLOOKUP(F304,BS_ATIVIDADE[#All],3,FALSE))</f>
        <v>OUTROS</v>
      </c>
      <c r="H304" s="134" t="s">
        <v>791</v>
      </c>
      <c r="I304" s="134" t="s">
        <v>385</v>
      </c>
      <c r="J304" s="150">
        <v>78</v>
      </c>
      <c r="K304" s="150">
        <v>334.88799999999998</v>
      </c>
      <c r="L304" s="71">
        <v>24.84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04" s="134">
        <v>0.45833333333333331</v>
      </c>
      <c r="P304" s="134">
        <v>4.1666666666666664E-2</v>
      </c>
      <c r="Q304" s="71">
        <v>1</v>
      </c>
      <c r="R304" s="9" t="str">
        <f>IFERROR(_xlfn.XLOOKUP(F304, BS_ATIVIDADE[ATIVIDADE],BS_ATIVIDADE[UNIDADE] ), "*")</f>
        <v>BINÁRIO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188" t="str">
        <f>IFERROR(_xlfn.XLOOKUP(J304, BASE_MAPA!$B$2:$B$420, BASE_MAPA!$G$2:$G$420), "ERRO")</f>
        <v>ITIRAPINA - BAURU</v>
      </c>
      <c r="V304" s="142" t="s">
        <v>1294</v>
      </c>
      <c r="W304" s="134" t="s">
        <v>1797</v>
      </c>
      <c r="X304" s="151" t="s">
        <v>1005</v>
      </c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DESLOCAMENTO</v>
      </c>
      <c r="AJ304" s="8" t="str">
        <f>IF(D304="","*",VLOOKUP(AI304,BS_ATIVIDADE[#Data],3,FALSE))</f>
        <v>OUTROS</v>
      </c>
      <c r="AK304" s="166" t="str">
        <f>IF(BS_CONTROLE[[#This Row],[Local - Partida]]=0, "-", BS_CONTROLE[[#This Row],[Local - Partida]])</f>
        <v>ZTP</v>
      </c>
      <c r="AL304" s="166" t="str">
        <f>IF(BS_CONTROLE[[#This Row],[Local - Encerramento]]=0, "-", BS_CONTROLE[[#This Row],[Local - Encerramento]])</f>
        <v>TAP</v>
      </c>
      <c r="AM304" s="166" t="str">
        <f>IF(BS_CONTROLE[[#This Row],[Entre - Estações]]=0, "-", BS_CONTROLE[[#This Row],[Entre - Estações]])</f>
        <v>ZTP</v>
      </c>
      <c r="AN304" s="166" t="str">
        <f>IF(BS_CONTROLE[[#This Row],[SB]]=0, "-", BS_CONTROLE[[#This Row],[SB]])</f>
        <v>ZTP11</v>
      </c>
      <c r="AO304" s="167">
        <f>IF(BS_CONTROLE[[#This Row],[SUB]]=0, "-", BS_CONTROLE[[#This Row],[SUB]])</f>
        <v>78</v>
      </c>
      <c r="AP304" s="168">
        <f>IF(BS_CONTROLE[[#This Row],[KM - Inicio]]=0, "-", BS_CONTROLE[[#This Row],[KM - Inicio]])</f>
        <v>334.88799999999998</v>
      </c>
      <c r="AQ304" s="168">
        <f>IF(BS_CONTROLE[[#This Row],[KM - Fim]]=0, "-", BS_CONTROLE[[#This Row],[KM - Fim]])</f>
        <v>24.84</v>
      </c>
      <c r="AR304" s="32"/>
      <c r="AS304" s="32"/>
      <c r="AT304" s="32"/>
      <c r="AU304" s="32"/>
      <c r="AV304" s="32"/>
      <c r="AW304" s="32"/>
      <c r="AX304" s="32"/>
      <c r="AY304" s="174">
        <f>IF(D304="","*",IFERROR(IF(ISODD(COUNT(AS304:AX304)),"ERRO",SUM((AT304-AS304),(AV304-AU304),(AX304-AW304))),"ERRO"))</f>
        <v>0</v>
      </c>
      <c r="AZ304" s="11"/>
      <c r="BA304" s="60"/>
      <c r="BB304" s="9" t="str">
        <f>IFERROR(_xlfn.XLOOKUP(AI304, BS_ATIVIDADE[ATIVIDADE],BS_ATIVIDADE[UNIDADE] ), "*")</f>
        <v>BINÁRIO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89" t="str">
        <f>IFERROR(_xlfn.XLOOKUP(AO304, BASE_MAPA!$B$2:$B$420, BASE_MAPA!$G$2:$G$420), "ERRO")</f>
        <v>ITIRAPINA - BAURU</v>
      </c>
      <c r="BF304" s="169" t="str">
        <f>IF(BS_CONTROLE[[#This Row],[Responsavel pelo boletim]]=0, "-", BS_CONTROLE[[#This Row],[Responsavel pelo boletim]])</f>
        <v>PCM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Produção e Intervalo</v>
      </c>
      <c r="BR304" s="15">
        <f t="shared" si="34"/>
        <v>0</v>
      </c>
      <c r="BS304" s="15">
        <f t="shared" si="35"/>
        <v>0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5" operator="equal">
      <formula>"ERRO"</formula>
    </cfRule>
  </conditionalFormatting>
  <conditionalFormatting sqref="X4 Y1:Z4 Y8:Z757">
    <cfRule type="cellIs" dxfId="125" priority="18514" operator="equal">
      <formula>"OPORTUNIDADE"</formula>
    </cfRule>
  </conditionalFormatting>
  <conditionalFormatting sqref="AZ6:AZ757">
    <cfRule type="expression" dxfId="124" priority="18509">
      <formula>$BU6=1</formula>
    </cfRule>
  </conditionalFormatting>
  <conditionalFormatting sqref="BQ6:BQ757">
    <cfRule type="cellIs" dxfId="123" priority="18520" operator="equal">
      <formula>"Produção e Intervalo"</formula>
    </cfRule>
    <cfRule type="cellIs" dxfId="122" priority="18521" operator="equal">
      <formula>"Aderente"</formula>
    </cfRule>
    <cfRule type="cellIs" dxfId="121" priority="18522" operator="equal">
      <formula>"Intervalo"</formula>
    </cfRule>
    <cfRule type="cellIs" dxfId="120" priority="18523" operator="equal">
      <formula>"Produção"</formula>
    </cfRule>
    <cfRule type="cellIs" dxfId="119" priority="18524" operator="equal">
      <formula>"ERRO"</formula>
    </cfRule>
  </conditionalFormatting>
  <conditionalFormatting sqref="BR6:BS757">
    <cfRule type="cellIs" dxfId="118" priority="18502" operator="equal">
      <formula>"*"</formula>
    </cfRule>
    <cfRule type="cellIs" dxfId="117" priority="18503" operator="greaterThanOrEqual">
      <formula>1</formula>
    </cfRule>
    <cfRule type="cellIs" dxfId="116" priority="18504" operator="lessThan">
      <formula>1</formula>
    </cfRule>
  </conditionalFormatting>
  <conditionalFormatting sqref="Y8:Z757">
    <cfRule type="cellIs" dxfId="115" priority="18450" operator="equal">
      <formula>"NÃO"</formula>
    </cfRule>
    <cfRule type="cellIs" dxfId="114" priority="18451" operator="equal">
      <formula>"SIM"</formula>
    </cfRule>
  </conditionalFormatting>
  <conditionalFormatting sqref="Y1047820:Y1048576">
    <cfRule type="cellIs" dxfId="113" priority="18331" operator="equal">
      <formula>"OPORTUNIDADE"</formula>
    </cfRule>
  </conditionalFormatting>
  <conditionalFormatting sqref="Y1047820:Y1048576">
    <cfRule type="cellIs" dxfId="112" priority="18329" operator="equal">
      <formula>"NÃO"</formula>
    </cfRule>
    <cfRule type="cellIs" dxfId="111" priority="18330" operator="equal">
      <formula>"SIM"</formula>
    </cfRule>
  </conditionalFormatting>
  <conditionalFormatting sqref="Y6:Y7">
    <cfRule type="cellIs" dxfId="110" priority="51" operator="equal">
      <formula>"OPORTUNIDADE"</formula>
    </cfRule>
  </conditionalFormatting>
  <conditionalFormatting sqref="Y6:Y7">
    <cfRule type="cellIs" dxfId="109" priority="49" operator="equal">
      <formula>"NÃO"</formula>
    </cfRule>
    <cfRule type="cellIs" dxfId="108" priority="50" operator="equal">
      <formula>"SIM"</formula>
    </cfRule>
  </conditionalFormatting>
  <conditionalFormatting sqref="BK1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4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 BK261 BK267:BK268 BK270 BK272">
    <cfRule type="iconSet" priority="25315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52 BK254:BK255 BK257:BK260 BK269 BK262:BK266 BK271 BK273:BK757">
    <cfRule type="iconSet" priority="25348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6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8">
      <iconSet showValue="0">
        <cfvo type="percent" val="0"/>
        <cfvo type="num" val="1"/>
        <cfvo type="num" val="1" gte="0"/>
      </iconSet>
    </cfRule>
    <cfRule type="iconSet" priority="25859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1798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76" t="s">
        <v>104</v>
      </c>
      <c r="D3" s="176" t="s">
        <v>1799</v>
      </c>
      <c r="E3" s="176" t="s">
        <v>1800</v>
      </c>
      <c r="F3" s="176" t="s">
        <v>1801</v>
      </c>
      <c r="G3" s="176" t="s">
        <v>1802</v>
      </c>
      <c r="H3" s="176" t="s">
        <v>1803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1804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1805</v>
      </c>
      <c r="D12" s="177">
        <v>9049</v>
      </c>
      <c r="E12" s="178">
        <v>46044</v>
      </c>
      <c r="F12" s="180" t="s">
        <v>1806</v>
      </c>
      <c r="G12" s="177" t="s">
        <v>1807</v>
      </c>
      <c r="H12" s="177"/>
    </row>
    <row r="13" spans="3:8">
      <c r="C13" s="177" t="s">
        <v>1805</v>
      </c>
      <c r="D13" s="177">
        <v>9044</v>
      </c>
      <c r="E13" s="178">
        <v>46044</v>
      </c>
      <c r="F13" s="180" t="s">
        <v>1808</v>
      </c>
      <c r="G13" s="177" t="s">
        <v>1809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1810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1810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K1" workbookViewId="0">
      <selection activeCell="Q912" sqref="Q91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4" t="s">
        <v>1260</v>
      </c>
      <c r="Q2" s="265"/>
      <c r="R2" s="88"/>
      <c r="S2" s="88"/>
      <c r="T2" s="89"/>
      <c r="U2" s="266" t="s">
        <v>1811</v>
      </c>
      <c r="V2" s="266"/>
      <c r="W2" s="266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1812</v>
      </c>
      <c r="B3" s="91" t="s">
        <v>1813</v>
      </c>
      <c r="C3" s="91" t="s">
        <v>7</v>
      </c>
      <c r="D3" s="92" t="s">
        <v>1212</v>
      </c>
      <c r="E3" s="92" t="s">
        <v>366</v>
      </c>
      <c r="F3" s="92" t="s">
        <v>1814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1815</v>
      </c>
      <c r="T3" s="94" t="s">
        <v>1215</v>
      </c>
      <c r="U3" s="90">
        <f ca="1">TODAY()-1</f>
        <v>46075</v>
      </c>
      <c r="V3" s="90">
        <f ca="1">U3-1</f>
        <v>46074</v>
      </c>
      <c r="W3" s="90">
        <f ca="1">V3-1</f>
        <v>46073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16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2700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16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2700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16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100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2700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16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100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63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9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2700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16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100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63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2700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16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63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100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2700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2700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2700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16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63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100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9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2700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16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100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63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2700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16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63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100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9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2700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16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63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100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0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2700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>
        <f ca="1">_xlfn.XLOOKUP(G131&amp;$V$3,BS_CONTROLE[CHAVE],BS_CONTROLE[Quantidade_11],"-")</f>
        <v>20</v>
      </c>
      <c r="W131" s="98">
        <f ca="1">_xlfn.XLOOKUP(G131&amp;$W$3,BS_CONTROLE[CHAVE],BS_CONTROLE[Quantidade_11],"-")</f>
        <v>16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 t="str">
        <f ca="1">_xlfn.XLOOKUP(G132&amp;$U$3,BS_CONTROLE[CHAVE],BS_CONTROLE[Quantidade_11],"-")</f>
        <v>-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100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2700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20</v>
      </c>
      <c r="W144" s="98">
        <f ca="1">_xlfn.XLOOKUP(G144&amp;$W$3,BS_CONTROLE[CHAVE],BS_CONTROLE[Quantidade_11],"-")</f>
        <v>16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2700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2700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>
        <f ca="1">_xlfn.XLOOKUP(G153&amp;$V$3,BS_CONTROLE[CHAVE],BS_CONTROLE[Quantidade_11],"-")</f>
        <v>20</v>
      </c>
      <c r="W153" s="98">
        <f ca="1">_xlfn.XLOOKUP(G153&amp;$W$3,BS_CONTROLE[CHAVE],BS_CONTROLE[Quantidade_11],"-")</f>
        <v>16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>
        <f ca="1">_xlfn.XLOOKUP(G155&amp;$W$3,BS_CONTROLE[CHAVE],BS_CONTROLE[Quantidade_11],"-")</f>
        <v>63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100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2700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 t="str">
        <f ca="1">_xlfn.XLOOKUP(G165&amp;$U$3,BS_CONTROLE[CHAVE],BS_CONTROLE[Quantidade_11],"-")</f>
        <v>-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20</v>
      </c>
      <c r="W168" s="98">
        <f ca="1">_xlfn.XLOOKUP(G168&amp;$W$3,BS_CONTROLE[CHAVE],BS_CONTROLE[Quantidade_11],"-")</f>
        <v>16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100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>
        <f ca="1">_xlfn.XLOOKUP(G174&amp;$W$3,BS_CONTROLE[CHAVE],BS_CONTROLE[Quantidade_11],"-")</f>
        <v>63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2700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1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20</v>
      </c>
      <c r="W184" s="98">
        <f ca="1">_xlfn.XLOOKUP(G184&amp;$W$3,BS_CONTROLE[CHAVE],BS_CONTROLE[Quantidade_11],"-")</f>
        <v>16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63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100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 t="str">
        <f ca="1">_xlfn.XLOOKUP(G190&amp;$U$3,BS_CONTROLE[CHAVE],BS_CONTROLE[Quantidade_11],"-")</f>
        <v>-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 t="str">
        <f ca="1">_xlfn.XLOOKUP(G194&amp;$U$3,BS_CONTROLE[CHAVE],BS_CONTROLE[Quantidade_11],"-")</f>
        <v>-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2700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 t="str">
        <f ca="1">_xlfn.XLOOKUP(G199&amp;$U$3,BS_CONTROLE[CHAVE],BS_CONTROLE[Quantidade_11],"-")</f>
        <v>-</v>
      </c>
      <c r="V199" s="98">
        <f ca="1">_xlfn.XLOOKUP(G199&amp;$V$3,BS_CONTROLE[CHAVE],BS_CONTROLE[Quantidade_11],"-")</f>
        <v>1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>
        <f ca="1">_xlfn.XLOOKUP(G201&amp;$W$3,BS_CONTROLE[CHAVE],BS_CONTROLE[Quantidade_11],"-")</f>
        <v>63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1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20</v>
      </c>
      <c r="W203" s="98">
        <f ca="1">_xlfn.XLOOKUP(G203&amp;$W$3,BS_CONTROLE[CHAVE],BS_CONTROLE[Quantidade_11],"-")</f>
        <v>16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 t="str">
        <f ca="1">_xlfn.XLOOKUP(G204&amp;$U$3,BS_CONTROLE[CHAVE],BS_CONTROLE[Quantidade_11],"-")</f>
        <v>-</v>
      </c>
      <c r="V204" s="98">
        <f ca="1">_xlfn.XLOOKUP(G204&amp;$V$3,BS_CONTROLE[CHAVE],BS_CONTROLE[Quantidade_11],"-")</f>
        <v>100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 t="str">
        <f ca="1">_xlfn.XLOOKUP(G208&amp;$U$3,BS_CONTROLE[CHAVE],BS_CONTROLE[Quantidade_11],"-")</f>
        <v>-</v>
      </c>
      <c r="V208" s="98">
        <f ca="1">_xlfn.XLOOKUP(G208&amp;$V$3,BS_CONTROLE[CHAVE],BS_CONTROLE[Quantidade_11],"-")</f>
        <v>0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>
        <f ca="1">_xlfn.XLOOKUP(G213&amp;$W$3,BS_CONTROLE[CHAVE],BS_CONTROLE[Quantidade_11],"-")</f>
        <v>63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2700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 t="str">
        <f ca="1">_xlfn.XLOOKUP(G216&amp;$U$3,BS_CONTROLE[CHAVE],BS_CONTROLE[Quantidade_11],"-")</f>
        <v>-</v>
      </c>
      <c r="V216" s="98">
        <f ca="1">_xlfn.XLOOKUP(G216&amp;$V$3,BS_CONTROLE[CHAVE],BS_CONTROLE[Quantidade_11],"-")</f>
        <v>1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 t="str">
        <f ca="1">_xlfn.XLOOKUP(G220&amp;$U$3,BS_CONTROLE[CHAVE],BS_CONTROLE[Quantidade_11],"-")</f>
        <v>-</v>
      </c>
      <c r="V220" s="98">
        <f ca="1">_xlfn.XLOOKUP(G220&amp;$V$3,BS_CONTROLE[CHAVE],BS_CONTROLE[Quantidade_11],"-")</f>
        <v>20</v>
      </c>
      <c r="W220" s="98">
        <f ca="1">_xlfn.XLOOKUP(G220&amp;$W$3,BS_CONTROLE[CHAVE],BS_CONTROLE[Quantidade_11],"-")</f>
        <v>16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 t="str">
        <f ca="1">_xlfn.XLOOKUP(G224&amp;$U$3,BS_CONTROLE[CHAVE],BS_CONTROLE[Quantidade_11],"-")</f>
        <v>-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 t="str">
        <f ca="1">_xlfn.XLOOKUP(G227&amp;$U$3,BS_CONTROLE[CHAVE],BS_CONTROLE[Quantidade_11],"-")</f>
        <v>-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 t="str">
        <f ca="1">_xlfn.XLOOKUP(G229&amp;$U$3,BS_CONTROLE[CHAVE],BS_CONTROLE[Quantidade_11],"-")</f>
        <v>-</v>
      </c>
      <c r="V229" s="98">
        <f ca="1">_xlfn.XLOOKUP(G229&amp;$V$3,BS_CONTROLE[CHAVE],BS_CONTROLE[Quantidade_11],"-")</f>
        <v>100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 t="str">
        <f ca="1">_xlfn.XLOOKUP(G230&amp;$U$3,BS_CONTROLE[CHAVE],BS_CONTROLE[Quantidade_11],"-")</f>
        <v>-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 t="str">
        <f ca="1">_xlfn.XLOOKUP(G238&amp;$U$3,BS_CONTROLE[CHAVE],BS_CONTROLE[Quantidade_11],"-")</f>
        <v>-</v>
      </c>
      <c r="V238" s="98">
        <f ca="1">_xlfn.XLOOKUP(G238&amp;$V$3,BS_CONTROLE[CHAVE],BS_CONTROLE[Quantidade_11],"-")</f>
        <v>1</v>
      </c>
      <c r="W238" s="98">
        <f ca="1">_xlfn.XLOOKUP(G238&amp;$W$3,BS_CONTROLE[CHAVE],BS_CONTROLE[Quantidade_11],"-")</f>
        <v>0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2700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 t="str">
        <f ca="1">_xlfn.XLOOKUP(G240&amp;$U$3,BS_CONTROLE[CHAVE],BS_CONTROLE[Quantidade_11],"-")</f>
        <v>-</v>
      </c>
      <c r="V240" s="98">
        <f ca="1">_xlfn.XLOOKUP(G240&amp;$V$3,BS_CONTROLE[CHAVE],BS_CONTROLE[Quantidade_11],"-")</f>
        <v>20</v>
      </c>
      <c r="W240" s="98">
        <f ca="1">_xlfn.XLOOKUP(G240&amp;$W$3,BS_CONTROLE[CHAVE],BS_CONTROLE[Quantidade_11],"-")</f>
        <v>16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 t="str">
        <f ca="1">_xlfn.XLOOKUP(G241&amp;$U$3,BS_CONTROLE[CHAVE],BS_CONTROLE[Quantidade_11],"-")</f>
        <v>-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1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0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 t="str">
        <f ca="1">_xlfn.XLOOKUP(G244&amp;$U$3,BS_CONTROLE[CHAVE],BS_CONTROLE[Quantidade_11],"-")</f>
        <v>-</v>
      </c>
      <c r="V244" s="98">
        <f ca="1">_xlfn.XLOOKUP(G244&amp;$V$3,BS_CONTROLE[CHAVE],BS_CONTROLE[Quantidade_11],"-")</f>
        <v>0</v>
      </c>
      <c r="W244" s="98">
        <f ca="1">_xlfn.XLOOKUP(G244&amp;$W$3,BS_CONTROLE[CHAVE],BS_CONTROLE[Quantidade_11],"-")</f>
        <v>0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100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 t="str">
        <f ca="1">_xlfn.XLOOKUP(G249&amp;$U$3,BS_CONTROLE[CHAVE],BS_CONTROLE[Quantidade_11],"-")</f>
        <v>-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 t="str">
        <f ca="1">_xlfn.XLOOKUP(G252&amp;$U$3,BS_CONTROLE[CHAVE],BS_CONTROLE[Quantidade_11],"-")</f>
        <v>-</v>
      </c>
      <c r="V252" s="98">
        <f ca="1">_xlfn.XLOOKUP(G252&amp;$V$3,BS_CONTROLE[CHAVE],BS_CONTROLE[Quantidade_11],"-")</f>
        <v>0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2700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0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2700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FERRONORTE</v>
      </c>
      <c r="E268" s="96" t="str">
        <f>IF(FN_MC!T263="","*",FN_MC!T263)</f>
        <v>TCS-TGR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TLA</v>
      </c>
      <c r="L268" s="186" t="str">
        <f>IF(FN_MC!N263="","*",FN_MC!N263)</f>
        <v>TLA1</v>
      </c>
      <c r="M268" s="97">
        <f>IF(FN_MC!J263="","*",FN_MC!J263)</f>
        <v>74</v>
      </c>
      <c r="N268" s="173">
        <f>IF(FN_MC!K263="","*",FN_MC!K263)</f>
        <v>335.35899999999998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0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Oportunidade</v>
      </c>
      <c r="C270" s="95" t="str">
        <f>IF(FN_MC!Z265="","*",FN_MC!Z265)</f>
        <v>*</v>
      </c>
      <c r="D270" s="96" t="str">
        <f>IF(FN_MC!S265="","*",FN_MC!S265)</f>
        <v>FERRONORTE</v>
      </c>
      <c r="E270" s="96" t="str">
        <f>IF(FN_MC!T265="","*",FN_MC!T265)</f>
        <v>TCS-TGR</v>
      </c>
      <c r="F270" s="96" t="str">
        <f>IF(FN_MC!B265="","*",FN_MC!B265)</f>
        <v>*</v>
      </c>
      <c r="G270" s="96" t="str">
        <f>IF(FN_MC!D265="","*",FN_MC!D265)</f>
        <v>W70</v>
      </c>
      <c r="H270" s="96" t="str">
        <f>IF(FN_MC!F265="","*",FN_MC!F265)</f>
        <v>DESLOCAMENTO</v>
      </c>
      <c r="I270" s="96" t="str">
        <f>IF(FN_MC!H265="","*",FN_MC!H265)</f>
        <v>TAG</v>
      </c>
      <c r="J270" s="96" t="str">
        <f>IF(FN_MC!I265="","*",FN_MC!I265)</f>
        <v>TOM</v>
      </c>
      <c r="K270" s="96" t="str">
        <f>IF(FN_MC!M265="","*",FN_MC!M265)</f>
        <v>TAG-TOM</v>
      </c>
      <c r="L270" s="186" t="str">
        <f>IF(FN_MC!N265="","*",FN_MC!N265)</f>
        <v>TAGTOM</v>
      </c>
      <c r="M270" s="97">
        <f>IF(FN_MC!J265="","*",FN_MC!J265)</f>
        <v>74</v>
      </c>
      <c r="N270" s="173">
        <f>IF(FN_MC!K265="","*",FN_MC!K265)</f>
        <v>500</v>
      </c>
      <c r="O270" s="173" t="str">
        <f>IF(FN_MC!L265="","*",FN_MC!L265)</f>
        <v>-</v>
      </c>
      <c r="P270" s="107">
        <f>IF(FN_MC!O265="","*",FN_MC!O265)</f>
        <v>0.4375</v>
      </c>
      <c r="Q270" s="107">
        <f>IF(FN_MC!P265="","*",FN_MC!P265)</f>
        <v>4.1666666666666664E-2</v>
      </c>
      <c r="R270" s="96" t="str">
        <f>IF(FN_MC!Q265="","*",CONCATENATE(FN_MC!Q265," ",FN_MC!R265))</f>
        <v>1 BINÁRIO</v>
      </c>
      <c r="S270" s="96" t="str">
        <f>IF(FN_MC!V265="","*",FN_MC!V265)</f>
        <v>Elton</v>
      </c>
      <c r="T270" s="96" t="str">
        <f>IF(FN_MC!W265="","*",FN_MC!W265)</f>
        <v>Deslocamento somente de locomotiva para abastecimento no TOM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20</v>
      </c>
      <c r="W270" s="98">
        <f ca="1">_xlfn.XLOOKUP(G270&amp;$W$3,BS_CONTROLE[CHAVE],BS_CONTROLE[Quantidade_11],"-")</f>
        <v>16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ELSON</v>
      </c>
      <c r="H271" s="96" t="str">
        <f>IF(FN_MC!F266="","*",FN_MC!F266)</f>
        <v>PDM - SOLDA</v>
      </c>
      <c r="I271" s="96" t="str">
        <f>IF(FN_MC!H266="","*",FN_MC!H266)</f>
        <v>-</v>
      </c>
      <c r="J271" s="96" t="str">
        <f>IF(FN_MC!I266="","*",FN_MC!I266)</f>
        <v>-</v>
      </c>
      <c r="K271" s="96" t="str">
        <f>IF(FN_MC!M266="","*",FN_MC!M266)</f>
        <v>TLA-S</v>
      </c>
      <c r="L271" s="186" t="str">
        <f>IF(FN_MC!N266="","*",FN_MC!N266)</f>
        <v>TLAS</v>
      </c>
      <c r="M271" s="97">
        <f>IF(FN_MC!J266="","*",FN_MC!J266)</f>
        <v>74</v>
      </c>
      <c r="N271" s="173">
        <f>IF(FN_MC!K266="","*",FN_MC!K266)</f>
        <v>335.35899999999998</v>
      </c>
      <c r="O271" s="173" t="str">
        <f>IF(FN_MC!L266="","*",FN_MC!L266)</f>
        <v>-</v>
      </c>
      <c r="P271" s="107">
        <f>IF(FN_MC!O266="","*",FN_MC!O266)</f>
        <v>0.4375</v>
      </c>
      <c r="Q271" s="107">
        <f>IF(FN_MC!P266="","*",FN_MC!P266)</f>
        <v>8.3333333333333329E-2</v>
      </c>
      <c r="R271" s="96" t="str">
        <f>IF(FN_MC!Q266="","*",CONCATENATE(FN_MC!Q266," ",FN_MC!R266))</f>
        <v>1 Nº DE SOLDA</v>
      </c>
      <c r="S271" s="96" t="str">
        <f>IF(FN_MC!V266="","*",FN_MC!V266)</f>
        <v>Elson</v>
      </c>
      <c r="T271" s="96" t="str">
        <f>IF(FN_MC!W266="","*",FN_MC!W266)</f>
        <v>Retirada de taco + solda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>
      <c r="A272" s="95" t="str">
        <f>IF(FN_MC!Y267="","*",FN_MC!Y267)</f>
        <v>*</v>
      </c>
      <c r="B272" s="95" t="str">
        <f>IF(FN_MC!X267="","*",FN_MC!X267)</f>
        <v>Contrato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63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 t="str">
        <f>IF(FN_MC!N268="","*",FN_MC!N268)</f>
        <v>TVI239</v>
      </c>
      <c r="M273" s="97">
        <f>IF(FN_MC!J268="","*",FN_MC!J268)</f>
        <v>74</v>
      </c>
      <c r="N273" s="173">
        <f>IF(FN_MC!K268="","*",FN_MC!K268)</f>
        <v>239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0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 t="str">
        <f ca="1">_xlfn.XLOOKUP(G275&amp;$U$3,BS_CONTROLE[CHAVE],BS_CONTROLE[Quantidade_11],"-")</f>
        <v>-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TVI-TJA</v>
      </c>
      <c r="L276" s="186">
        <f>IF(FN_MC!N271="","*",FN_MC!N271)</f>
        <v>239251</v>
      </c>
      <c r="M276" s="97">
        <f>IF(FN_MC!J271="","*",FN_MC!J271)</f>
        <v>74</v>
      </c>
      <c r="N276" s="173">
        <f>IF(FN_MC!K271="","*",FN_MC!K271)</f>
        <v>242.202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4.1666666666666664E-2</v>
      </c>
      <c r="R276" s="96" t="str">
        <f>IF(FN_MC!Q271="","*",CONCATENATE(FN_MC!Q271," ",FN_MC!R271))</f>
        <v>8 M</v>
      </c>
      <c r="S276" s="96" t="str">
        <f>IF(FN_MC!V271="","*",FN_MC!V271)</f>
        <v>Adenilson</v>
      </c>
      <c r="T276" s="96" t="str">
        <f>IF(FN_MC!W271="","*",FN_MC!W271)</f>
        <v>Substituição de trilho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TIN</v>
      </c>
      <c r="J277" s="96" t="str">
        <f>IF(FN_MC!I272="","*",FN_MC!I272)</f>
        <v>TIN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 t="str">
        <f ca="1">_xlfn.XLOOKUP(G278&amp;$U$3,BS_CONTROLE[CHAVE],BS_CONTROLE[Quantidade_11],"-")</f>
        <v>-</v>
      </c>
      <c r="V278" s="98">
        <f ca="1">_xlfn.XLOOKUP(G278&amp;$V$3,BS_CONTROLE[CHAVE],BS_CONTROLE[Quantidade_11],"-")</f>
        <v>100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8.3333333333333329E-2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*</v>
      </c>
      <c r="L284" s="186" t="str">
        <f>IF(FN_MC!N279="","*",FN_MC!N279)</f>
        <v>*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Contrato</v>
      </c>
      <c r="C287" s="95" t="str">
        <f>IF(FN_MC!Z282="","*",FN_MC!Z282)</f>
        <v>*</v>
      </c>
      <c r="D287" s="96" t="str">
        <f>IF(FN_MC!S282="","*",FN_MC!S282)</f>
        <v>FERRONORTE</v>
      </c>
      <c r="E287" s="96" t="str">
        <f>IF(FN_MC!T282="","*",FN_MC!T282)</f>
        <v>TGR-TRO</v>
      </c>
      <c r="F287" s="96">
        <f>IF(FN_MC!B282="","*",FN_MC!B282)</f>
        <v>46077</v>
      </c>
      <c r="G287" s="96" t="str">
        <f>IF(FN_MC!D282="","*",FN_MC!D282)</f>
        <v>V86</v>
      </c>
      <c r="H287" s="96" t="str">
        <f>IF(FN_MC!F282="","*",FN_MC!F282)</f>
        <v>MECANIZAÇÃO - SOCADORA</v>
      </c>
      <c r="I287" s="96" t="str">
        <f>IF(FN_MC!H282="","*",FN_MC!H282)</f>
        <v xml:space="preserve">TIQ </v>
      </c>
      <c r="J287" s="96" t="str">
        <f>IF(FN_MC!I282="","*",FN_MC!I282)</f>
        <v>TIQ</v>
      </c>
      <c r="K287" s="96" t="str">
        <f>IF(FN_MC!M282="","*",FN_MC!M282)</f>
        <v>TBS</v>
      </c>
      <c r="L287" s="186" t="str">
        <f>IF(FN_MC!N282="","*",FN_MC!N282)</f>
        <v>TBS2</v>
      </c>
      <c r="M287" s="97">
        <f>IF(FN_MC!J282="","*",FN_MC!J282)</f>
        <v>98</v>
      </c>
      <c r="N287" s="173">
        <f>IF(FN_MC!K282="","*",FN_MC!K282)</f>
        <v>659.976</v>
      </c>
      <c r="O287" s="173">
        <f>IF(FN_MC!L282="","*",FN_MC!L282)</f>
        <v>662.91099999999994</v>
      </c>
      <c r="P287" s="107">
        <f>IF(FN_MC!O282="","*",FN_MC!O282)</f>
        <v>0.4375</v>
      </c>
      <c r="Q287" s="107">
        <f>IF(FN_MC!P282="","*",FN_MC!P282)</f>
        <v>0.125</v>
      </c>
      <c r="R287" s="96" t="str">
        <f>IF(FN_MC!Q282="","*",CONCATENATE(FN_MC!Q282," ",FN_MC!R282))</f>
        <v>1680 M</v>
      </c>
      <c r="S287" s="96" t="str">
        <f>IF(FN_MC!V282="","*",FN_MC!V282)</f>
        <v>Antonioni</v>
      </c>
      <c r="T287" s="96" t="str">
        <f>IF(FN_MC!W282="","*",FN_MC!W282)</f>
        <v>Socaria mecanizada</v>
      </c>
      <c r="U287" s="98">
        <f ca="1">_xlfn.XLOOKUP(G287&amp;$U$3,BS_CONTROLE[CHAVE],BS_CONTROLE[Quantidade_11],"-")</f>
        <v>0</v>
      </c>
      <c r="V287" s="98">
        <f ca="1">_xlfn.XLOOKUP(G287&amp;$V$3,BS_CONTROLE[CHAVE],BS_CONTROLE[Quantidade_11],"-")</f>
        <v>0</v>
      </c>
      <c r="W287" s="98">
        <f ca="1">_xlfn.XLOOKUP(G287&amp;$W$3,BS_CONTROLE[CHAVE],BS_CONTROLE[Quantidade_11],"-")</f>
        <v>2700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Oportunidade</v>
      </c>
      <c r="C289" s="95" t="str">
        <f>IF(FN_MC!Z284="","*",FN_MC!Z284)</f>
        <v>*</v>
      </c>
      <c r="D289" s="96" t="str">
        <f>IF(FN_MC!S284="","*",FN_MC!S284)</f>
        <v>FERRONORTE</v>
      </c>
      <c r="E289" s="96" t="str">
        <f>IF(FN_MC!T284="","*",FN_MC!T284)</f>
        <v>TGR-TRO</v>
      </c>
      <c r="F289" s="96">
        <f>IF(FN_MC!B284="","*",FN_MC!B284)</f>
        <v>46077</v>
      </c>
      <c r="G289" s="96" t="str">
        <f>IF(FN_MC!D284="","*",FN_MC!D284)</f>
        <v>BRUNO (TF-525)</v>
      </c>
      <c r="H289" s="96" t="str">
        <f>IF(FN_MC!F284="","*",FN_MC!F284)</f>
        <v>PDM - SOLDA</v>
      </c>
      <c r="I289" s="96" t="str">
        <f>IF(FN_MC!H284="","*",FN_MC!H284)</f>
        <v>TRMSUL</v>
      </c>
      <c r="J289" s="96" t="str">
        <f>IF(FN_MC!I284="","*",FN_MC!I284)</f>
        <v>-</v>
      </c>
      <c r="K289" s="96" t="str">
        <f>IF(FN_MC!M284="","*",FN_MC!M284)</f>
        <v>TRM</v>
      </c>
      <c r="L289" s="186" t="str">
        <f>IF(FN_MC!N284="","*",FN_MC!N284)</f>
        <v>TRMSUL</v>
      </c>
      <c r="M289" s="97">
        <f>IF(FN_MC!J284="","*",FN_MC!J284)</f>
        <v>98</v>
      </c>
      <c r="N289" s="173">
        <f>IF(FN_MC!K284="","*",FN_MC!K284)</f>
        <v>548.20000000000005</v>
      </c>
      <c r="O289" s="173" t="str">
        <f>IF(FN_MC!L284="","*",FN_MC!L284)</f>
        <v>-</v>
      </c>
      <c r="P289" s="107">
        <f>IF(FN_MC!O284="","*",FN_MC!O284)</f>
        <v>0.375</v>
      </c>
      <c r="Q289" s="107">
        <f>IF(FN_MC!P284="","*",FN_MC!P284)</f>
        <v>6.25E-2</v>
      </c>
      <c r="R289" s="96" t="str">
        <f>IF(FN_MC!Q284="","*",CONCATENATE(FN_MC!Q284," ",FN_MC!R284))</f>
        <v>1 Nº DE SOLDA</v>
      </c>
      <c r="S289" s="96" t="str">
        <f>IF(FN_MC!V284="","*",FN_MC!V284)</f>
        <v>Bruno</v>
      </c>
      <c r="T289" s="96" t="str">
        <f>IF(FN_MC!W284="","*",FN_MC!W284)</f>
        <v>Execução de solda - AMV SUL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1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Oportunidade</v>
      </c>
      <c r="C293" s="95" t="str">
        <f>IF(FN_MC!Z288="","*",FN_MC!Z288)</f>
        <v>*</v>
      </c>
      <c r="D293" s="96" t="str">
        <f>IF(FN_MC!S288="","*",FN_MC!S288)</f>
        <v>FERRONORTE</v>
      </c>
      <c r="E293" s="96" t="str">
        <f>IF(FN_MC!T288="","*",FN_MC!T288)</f>
        <v>TCS-TGR</v>
      </c>
      <c r="F293" s="96">
        <f>IF(FN_MC!B288="","*",FN_MC!B288)</f>
        <v>46077</v>
      </c>
      <c r="G293" s="96" t="str">
        <f>IF(FN_MC!D288="","*",FN_MC!D288)</f>
        <v>N70</v>
      </c>
      <c r="H293" s="96" t="str">
        <f>IF(FN_MC!F288="","*",FN_MC!F288)</f>
        <v>DESLOCAMENTO</v>
      </c>
      <c r="I293" s="96" t="str">
        <f>IF(FN_MC!H288="","*",FN_MC!H288)</f>
        <v>TOM</v>
      </c>
      <c r="J293" s="96" t="str">
        <f>IF(FN_MC!I288="","*",FN_MC!I288)</f>
        <v>TAG</v>
      </c>
      <c r="K293" s="96" t="str">
        <f>IF(FN_MC!M288="","*",FN_MC!M288)</f>
        <v>TOM-TAG</v>
      </c>
      <c r="L293" s="186" t="str">
        <f>IF(FN_MC!N288="","*",FN_MC!N288)</f>
        <v>TOMTAG</v>
      </c>
      <c r="M293" s="97">
        <f>IF(FN_MC!J288="","*",FN_MC!J288)</f>
        <v>74</v>
      </c>
      <c r="N293" s="173">
        <f>IF(FN_MC!K288="","*",FN_MC!K288)</f>
        <v>404</v>
      </c>
      <c r="O293" s="173" t="str">
        <f>IF(FN_MC!L288="","*",FN_MC!L288)</f>
        <v>-</v>
      </c>
      <c r="P293" s="107">
        <f>IF(FN_MC!O288="","*",FN_MC!O288)</f>
        <v>0.625</v>
      </c>
      <c r="Q293" s="107">
        <f>IF(FN_MC!P288="","*",FN_MC!P288)</f>
        <v>4.1666666666666664E-2</v>
      </c>
      <c r="R293" s="96" t="str">
        <f>IF(FN_MC!Q288="","*",CONCATENATE(FN_MC!Q288," ",FN_MC!R288))</f>
        <v>1 BINÁRIO</v>
      </c>
      <c r="S293" s="96" t="str">
        <f>IF(FN_MC!V288="","*",FN_MC!V288)</f>
        <v>Elton</v>
      </c>
      <c r="T293" s="96" t="str">
        <f>IF(FN_MC!W288="","*",FN_MC!W288)</f>
        <v>Finalizar abastececimento e deslocar pro TAG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Oportunidade</v>
      </c>
      <c r="C296" s="95" t="str">
        <f>IF(FN_MC!Z291="","*",FN_MC!Z291)</f>
        <v>*</v>
      </c>
      <c r="D296" s="96" t="str">
        <f>IF(FN_MC!S291="","*",FN_MC!S291)</f>
        <v>FERRONORTE</v>
      </c>
      <c r="E296" s="96" t="str">
        <f>IF(FN_MC!T291="","*",FN_MC!T291)</f>
        <v>TMI-TCS</v>
      </c>
      <c r="F296" s="96">
        <f>IF(FN_MC!B291="","*",FN_MC!B291)</f>
        <v>46077</v>
      </c>
      <c r="G296" s="96" t="str">
        <f>IF(FN_MC!D291="","*",FN_MC!D291)</f>
        <v>MARCOS (TF-520)</v>
      </c>
      <c r="H296" s="96" t="str">
        <f>IF(FN_MC!F291="","*",FN_MC!F291)</f>
        <v>PDM - SOLDA</v>
      </c>
      <c r="I296" s="96">
        <v>239251</v>
      </c>
      <c r="J296" s="96" t="str">
        <f>IF(FN_MC!I291="","*",FN_MC!I291)</f>
        <v>-</v>
      </c>
      <c r="K296" s="96" t="str">
        <f>IF(FN_MC!M291="","*",FN_MC!M291)</f>
        <v>TVI-TJA</v>
      </c>
      <c r="L296" s="186">
        <f>IF(FN_MC!N291="","*",FN_MC!N291)</f>
        <v>239251</v>
      </c>
      <c r="M296" s="97">
        <f>IF(FN_MC!J291="","*",FN_MC!J291)</f>
        <v>74</v>
      </c>
      <c r="N296" s="173">
        <f>IF(FN_MC!K291="","*",FN_MC!K291)</f>
        <v>242.202</v>
      </c>
      <c r="O296" s="173" t="str">
        <f>IF(FN_MC!L291="","*",FN_MC!L291)</f>
        <v>-</v>
      </c>
      <c r="P296" s="107">
        <f>IF(FN_MC!O291="","*",FN_MC!O291)</f>
        <v>0.375</v>
      </c>
      <c r="Q296" s="107">
        <f>IF(FN_MC!P291="","*",FN_MC!P291)</f>
        <v>0.125</v>
      </c>
      <c r="R296" s="96" t="str">
        <f>IF(FN_MC!Q291="","*",CONCATENATE(FN_MC!Q291," ",FN_MC!R291))</f>
        <v>2 Nº DE SOLDA</v>
      </c>
      <c r="S296" s="96" t="str">
        <f>IF(FN_MC!V291="","*",FN_MC!V291)</f>
        <v>Marcos Euzebio</v>
      </c>
      <c r="T296" s="96" t="str">
        <f>IF(FN_MC!W291="","*",FN_MC!W291)</f>
        <v xml:space="preserve">Execução de solda - Condicionado a temperatura </v>
      </c>
      <c r="U296" s="98" t="str">
        <f ca="1">_xlfn.XLOOKUP(G296&amp;$U$3,BS_CONTROLE[CHAVE],BS_CONTROLE[Quantidade_11],"-")</f>
        <v>-</v>
      </c>
      <c r="V296" s="98">
        <f ca="1">_xlfn.XLOOKUP(G296&amp;$V$3,BS_CONTROLE[CHAVE],BS_CONTROLE[Quantidade_11],"-")</f>
        <v>0</v>
      </c>
      <c r="W296" s="98">
        <f ca="1">_xlfn.XLOOKUP(G296&amp;$W$3,BS_CONTROLE[CHAVE],BS_CONTROLE[Quantidade_11],"-")</f>
        <v>2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Oportunidade</v>
      </c>
      <c r="C298" s="95" t="str">
        <f>IF(FN_MC!Z293="","*",FN_MC!Z293)</f>
        <v>*</v>
      </c>
      <c r="D298" s="96" t="str">
        <f>IF(FN_MC!S293="","*",FN_MC!S293)</f>
        <v>FERRONORTE</v>
      </c>
      <c r="E298" s="96" t="str">
        <f>IF(FN_MC!T293="","*",FN_MC!T293)</f>
        <v>TMI-TCS</v>
      </c>
      <c r="F298" s="96">
        <f>IF(FN_MC!B293="","*",FN_MC!B293)</f>
        <v>46077</v>
      </c>
      <c r="G298" s="96" t="str">
        <f>IF(FN_MC!D293="","*",FN_MC!D293)</f>
        <v>V48</v>
      </c>
      <c r="H298" s="96" t="str">
        <f>IF(FN_MC!F293="","*",FN_MC!F293)</f>
        <v>MODERNIZAÇÃO - SOCADORA</v>
      </c>
      <c r="I298" s="96" t="str">
        <f>IF(FN_MC!H293="","*",FN_MC!H293)</f>
        <v>TVI1</v>
      </c>
      <c r="J298" s="96" t="str">
        <f>IF(FN_MC!I293="","*",FN_MC!I293)</f>
        <v>TVI</v>
      </c>
      <c r="K298" s="96" t="str">
        <f>IF(FN_MC!M293="","*",FN_MC!M293)</f>
        <v>TVI-TJA</v>
      </c>
      <c r="L298" s="186" t="str">
        <f>IF(FN_MC!N293="","*",FN_MC!N293)</f>
        <v>TVI239</v>
      </c>
      <c r="M298" s="97">
        <f>IF(FN_MC!J293="","*",FN_MC!J293)</f>
        <v>74</v>
      </c>
      <c r="N298" s="173">
        <f>IF(FN_MC!K293="","*",FN_MC!K293)</f>
        <v>237.827</v>
      </c>
      <c r="O298" s="173">
        <f>IF(FN_MC!L293="","*",FN_MC!L293)</f>
        <v>239.227</v>
      </c>
      <c r="P298" s="107">
        <f>IF(FN_MC!O293="","*",FN_MC!O293)</f>
        <v>0.375</v>
      </c>
      <c r="Q298" s="107">
        <f>IF(FN_MC!P293="","*",FN_MC!P293)</f>
        <v>8.3333333333333329E-2</v>
      </c>
      <c r="R298" s="96" t="str">
        <f>IF(FN_MC!Q293="","*",CONCATENATE(FN_MC!Q293," ",FN_MC!R293))</f>
        <v>1400 M</v>
      </c>
      <c r="S298" s="96" t="str">
        <f>IF(FN_MC!V293="","*",FN_MC!V293)</f>
        <v>Augusto/ Efraim</v>
      </c>
      <c r="T298" s="96" t="str">
        <f>IF(FN_MC!W293="","*",FN_MC!W293)</f>
        <v>Socaria mecanizada</v>
      </c>
      <c r="U298" s="98">
        <f ca="1">_xlfn.XLOOKUP(G298&amp;$U$3,BS_CONTROLE[CHAVE],BS_CONTROLE[Quantidade_11],"-")</f>
        <v>0</v>
      </c>
      <c r="V298" s="98">
        <f ca="1">_xlfn.XLOOKUP(G298&amp;$V$3,BS_CONTROLE[CHAVE],BS_CONTROLE[Quantidade_11],"-")</f>
        <v>0</v>
      </c>
      <c r="W298" s="98">
        <f ca="1">_xlfn.XLOOKUP(G298&amp;$W$3,BS_CONTROLE[CHAVE],BS_CONTROLE[Quantidade_11],"-")</f>
        <v>0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Contrato</v>
      </c>
      <c r="C300" s="95" t="str">
        <f>IF(FN_MC!Z295="","*",FN_MC!Z295)</f>
        <v>*</v>
      </c>
      <c r="D300" s="96" t="str">
        <f>IF(FN_MC!S295="","*",FN_MC!S295)</f>
        <v>FERRONORTE</v>
      </c>
      <c r="E300" s="96" t="str">
        <f>IF(FN_MC!T295="","*",FN_MC!T295)</f>
        <v>TMI-TCS</v>
      </c>
      <c r="F300" s="96">
        <f>IF(FN_MC!B295="","*",FN_MC!B295)</f>
        <v>46077</v>
      </c>
      <c r="G300" s="96" t="str">
        <f>IF(FN_MC!D295="","*",FN_MC!D295)</f>
        <v>W48</v>
      </c>
      <c r="H300" s="96" t="str">
        <f>IF(FN_MC!F295="","*",FN_MC!F295)</f>
        <v>MECANIZAÇÃO - DOL</v>
      </c>
      <c r="I300" s="96" t="str">
        <f>IF(FN_MC!H295="","*",FN_MC!H295)</f>
        <v>TIN</v>
      </c>
      <c r="J300" s="96" t="str">
        <f>IF(FN_MC!I295="","*",FN_MC!I295)</f>
        <v>TIN</v>
      </c>
      <c r="K300" s="96" t="str">
        <f>IF(FN_MC!M295="","*",FN_MC!M295)</f>
        <v>TSP-TIN</v>
      </c>
      <c r="L300" s="186" t="str">
        <f>IF(FN_MC!N295="","*",FN_MC!N295)</f>
        <v>K97TIN</v>
      </c>
      <c r="M300" s="97">
        <f>IF(FN_MC!J295="","*",FN_MC!J295)</f>
        <v>74</v>
      </c>
      <c r="N300" s="173">
        <f>IF(FN_MC!K295="","*",FN_MC!K295)</f>
        <v>104.8</v>
      </c>
      <c r="O300" s="173">
        <f>IF(FN_MC!L295="","*",FN_MC!L295)</f>
        <v>100.7</v>
      </c>
      <c r="P300" s="107">
        <f>IF(FN_MC!O295="","*",FN_MC!O295)</f>
        <v>0.375</v>
      </c>
      <c r="Q300" s="107">
        <f>IF(FN_MC!P295="","*",FN_MC!P295)</f>
        <v>0.16666666666666666</v>
      </c>
      <c r="R300" s="96" t="str">
        <f>IF(FN_MC!Q295="","*",CONCATENATE(FN_MC!Q295," ",FN_MC!R295))</f>
        <v>4000 M</v>
      </c>
      <c r="S300" s="96" t="str">
        <f>IF(FN_MC!V295="","*",FN_MC!V295)</f>
        <v>Rodrigo</v>
      </c>
      <c r="T300" s="96" t="str">
        <f>IF(FN_MC!W295="","*",FN_MC!W295)</f>
        <v>Mecanização DOL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Contrato</v>
      </c>
      <c r="C302" s="95" t="str">
        <f>IF(FN_MC!Z297="","*",FN_MC!Z297)</f>
        <v>*</v>
      </c>
      <c r="D302" s="96" t="str">
        <f>IF(FN_MC!S297="","*",FN_MC!S297)</f>
        <v>FERRONORTE</v>
      </c>
      <c r="E302" s="96" t="str">
        <f>IF(FN_MC!T297="","*",FN_MC!T297)</f>
        <v>TMI-TCS</v>
      </c>
      <c r="F302" s="96">
        <f>IF(FN_MC!B297="","*",FN_MC!B297)</f>
        <v>46077</v>
      </c>
      <c r="G302" s="96" t="str">
        <f>IF(FN_MC!D297="","*",FN_MC!D297)</f>
        <v>W50</v>
      </c>
      <c r="H302" s="96" t="str">
        <f>IF(FN_MC!F297="","*",FN_MC!F297)</f>
        <v>MODERNIZAÇÃO - RECOLHIMENTO DE DORMENTE</v>
      </c>
      <c r="I302" s="96" t="str">
        <f>IF(FN_MC!H297="","*",FN_MC!H297)</f>
        <v>TAP</v>
      </c>
      <c r="J302" s="96" t="str">
        <f>IF(FN_MC!I297="","*",FN_MC!I297)</f>
        <v>TAP</v>
      </c>
      <c r="K302" s="96" t="str">
        <f>IF(FN_MC!M297="","*",FN_MC!M297)</f>
        <v>TQI-TSP</v>
      </c>
      <c r="L302" s="186" t="str">
        <f>IF(FN_MC!N297="","*",FN_MC!N297)</f>
        <v>TQIPAT2</v>
      </c>
      <c r="M302" s="97">
        <f>IF(FN_MC!J297="","*",FN_MC!J297)</f>
        <v>74</v>
      </c>
      <c r="N302" s="173">
        <f>IF(FN_MC!K297="","*",FN_MC!K297)</f>
        <v>62.2</v>
      </c>
      <c r="O302" s="173" t="str">
        <f>IF(FN_MC!L297="","*",FN_MC!L297)</f>
        <v>-</v>
      </c>
      <c r="P302" s="107">
        <f>IF(FN_MC!O297="","*",FN_MC!O297)</f>
        <v>0.35416666666666669</v>
      </c>
      <c r="Q302" s="107">
        <f>IF(FN_MC!P297="","*",FN_MC!P297)</f>
        <v>0.125</v>
      </c>
      <c r="R302" s="96" t="str">
        <f>IF(FN_MC!Q297="","*",CONCATENATE(FN_MC!Q297," ",FN_MC!R297))</f>
        <v>500 Nº DE DORMENTES</v>
      </c>
      <c r="S302" s="96" t="str">
        <f>IF(FN_MC!V297="","*",FN_MC!V297)</f>
        <v>Augusto/ Efraim</v>
      </c>
      <c r="T302" s="96" t="str">
        <f>IF(FN_MC!W297="","*",FN_MC!W297)</f>
        <v>Recolha de dormente TQI L2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100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Oportunidade</v>
      </c>
      <c r="C304" s="95" t="str">
        <f>IF(FN_MC!Z299="","*",FN_MC!Z299)</f>
        <v>*</v>
      </c>
      <c r="D304" s="96" t="str">
        <f>IF(FN_MC!S299="","*",FN_MC!S299)</f>
        <v>FERRONORTE</v>
      </c>
      <c r="E304" s="96" t="str">
        <f>IF(FN_MC!T299="","*",FN_MC!T299)</f>
        <v>TMI-TCS</v>
      </c>
      <c r="F304" s="96">
        <f>IF(FN_MC!B299="","*",FN_MC!B299)</f>
        <v>46077</v>
      </c>
      <c r="G304" s="96" t="str">
        <f>IF(FN_MC!D299="","*",FN_MC!D299)</f>
        <v>A60</v>
      </c>
      <c r="H304" s="96" t="str">
        <f>IF(FN_MC!F299="","*",FN_MC!F299)</f>
        <v>DETECÇÃO - RONDA 7 DIAS</v>
      </c>
      <c r="I304" s="96" t="str">
        <f>IF(FN_MC!H299="","*",FN_MC!H299)</f>
        <v>TMI</v>
      </c>
      <c r="J304" s="96" t="str">
        <f>IF(FN_MC!I299="","*",FN_MC!I299)</f>
        <v>TSJ</v>
      </c>
      <c r="K304" s="96" t="str">
        <f>IF(FN_MC!M299="","*",FN_MC!M299)</f>
        <v>TMI-TIN</v>
      </c>
      <c r="L304" s="186" t="str">
        <f>IF(FN_MC!N299="","*",FN_MC!N299)</f>
        <v>TMITIN</v>
      </c>
      <c r="M304" s="97">
        <f>IF(FN_MC!J299="","*",FN_MC!J299)</f>
        <v>74</v>
      </c>
      <c r="N304" s="173">
        <f>IF(FN_MC!K299="","*",FN_MC!K299)</f>
        <v>0</v>
      </c>
      <c r="O304" s="173">
        <f>IF(FN_MC!L299="","*",FN_MC!L299)</f>
        <v>125.538</v>
      </c>
      <c r="P304" s="107">
        <f>IF(FN_MC!O299="","*",FN_MC!O299)</f>
        <v>0.33333333333333331</v>
      </c>
      <c r="Q304" s="107">
        <f>IF(FN_MC!P299="","*",FN_MC!P299)</f>
        <v>4.1666666666666664E-2</v>
      </c>
      <c r="R304" s="96" t="str">
        <f>IF(FN_MC!Q299="","*",CONCATENATE(FN_MC!Q299," ",FN_MC!R299))</f>
        <v>125 KM</v>
      </c>
      <c r="S304" s="96" t="str">
        <f>IF(FN_MC!V299="","*",FN_MC!V299)</f>
        <v>Herbert</v>
      </c>
      <c r="T304" s="96" t="str">
        <f>IF(FN_MC!W299="","*",FN_MC!W299)</f>
        <v>Ronda 7 dias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>
        <f ca="1">_xlfn.XLOOKUP(G304&amp;$W$3,BS_CONTROLE[CHAVE],BS_CONTROLE[Quantidade_11],"-")</f>
        <v>63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Oportunidade</v>
      </c>
      <c r="C306" s="95" t="str">
        <f>IF(FN_MC!Z301="","*",FN_MC!Z301)</f>
        <v>*</v>
      </c>
      <c r="D306" s="96" t="str">
        <f>IF(FN_MC!S301="","*",FN_MC!S301)</f>
        <v>MALHA CENTRAL</v>
      </c>
      <c r="E306" s="96" t="str">
        <f>IF(FN_MC!T301="","*",FN_MC!T301)</f>
        <v>RAMAL</v>
      </c>
      <c r="F306" s="96">
        <f>IF(FN_MC!B301="","*",FN_MC!B301)</f>
        <v>46077</v>
      </c>
      <c r="G306" s="96" t="str">
        <f>IF(FN_MC!D301="","*",FN_MC!D301)</f>
        <v>E18</v>
      </c>
      <c r="H306" s="96" t="str">
        <f>IF(FN_MC!F301="","*",FN_MC!F301)</f>
        <v>CAMINHÃO DE SOLDA</v>
      </c>
      <c r="I306" s="96" t="str">
        <f>IF(FN_MC!H301="","*",FN_MC!H301)</f>
        <v>ZIQZQY</v>
      </c>
      <c r="J306" s="96" t="str">
        <f>IF(FN_MC!I301="","*",FN_MC!I301)</f>
        <v>-</v>
      </c>
      <c r="K306" s="96" t="str">
        <f>IF(FN_MC!M301="","*",FN_MC!M301)</f>
        <v>ZIQ-ZQY</v>
      </c>
      <c r="L306" s="186" t="str">
        <f>IF(FN_MC!N301="","*",FN_MC!N301)</f>
        <v>ZIQZQY</v>
      </c>
      <c r="M306" s="97">
        <f>IF(FN_MC!J301="","*",FN_MC!J301)</f>
        <v>78</v>
      </c>
      <c r="N306" s="173">
        <f>IF(FN_MC!K301="","*",FN_MC!K301)</f>
        <v>177.22</v>
      </c>
      <c r="O306" s="173" t="str">
        <f>IF(FN_MC!L301="","*",FN_MC!L301)</f>
        <v>-</v>
      </c>
      <c r="P306" s="107">
        <f>IF(FN_MC!O301="","*",FN_MC!O301)</f>
        <v>0.35416666666666669</v>
      </c>
      <c r="Q306" s="107">
        <f>IF(FN_MC!P301="","*",FN_MC!P301)</f>
        <v>0.125</v>
      </c>
      <c r="R306" s="96" t="str">
        <f>IF(FN_MC!Q301="","*",CONCATENATE(FN_MC!Q301," ",FN_MC!R301))</f>
        <v>4 Nº DE SOLDA</v>
      </c>
      <c r="S306" s="96" t="str">
        <f>IF(FN_MC!V301="","*",FN_MC!V301)</f>
        <v>Higor</v>
      </c>
      <c r="T306" s="96" t="str">
        <f>IF(FN_MC!W301="","*",FN_MC!W301)</f>
        <v>Caminhão de solda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>
        <f ca="1">_xlfn.XLOOKUP(G306&amp;$W$3,BS_CONTROLE[CHAVE],BS_CONTROLE[Quantidade_11],"-")</f>
        <v>5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Oportunidade</v>
      </c>
      <c r="C308" s="95" t="str">
        <f>IF(FN_MC!Z303="","*",FN_MC!Z303)</f>
        <v>*</v>
      </c>
      <c r="D308" s="96" t="str">
        <f>IF(FN_MC!S303="","*",FN_MC!S303)</f>
        <v>MALHA CENTRAL</v>
      </c>
      <c r="E308" s="96" t="str">
        <f>IF(FN_MC!T303="","*",FN_MC!T303)</f>
        <v>RAMAL</v>
      </c>
      <c r="F308" s="96">
        <f>IF(FN_MC!B303="","*",FN_MC!B303)</f>
        <v>46077</v>
      </c>
      <c r="G308" s="96" t="str">
        <f>IF(FN_MC!D303="","*",FN_MC!D303)</f>
        <v>A88</v>
      </c>
      <c r="H308" s="96" t="str">
        <f>IF(FN_MC!F303="","*",FN_MC!F303)</f>
        <v>INSPEÇÃO AUTO DE LINHA</v>
      </c>
      <c r="I308" s="96" t="str">
        <f>IF(FN_MC!H303="","*",FN_MC!H303)</f>
        <v>ZDK</v>
      </c>
      <c r="J308" s="96" t="str">
        <f>IF(FN_MC!I303="","*",FN_MC!I303)</f>
        <v>ZFH</v>
      </c>
      <c r="K308" s="96" t="str">
        <f>IF(FN_MC!M303="","*",FN_MC!M303)</f>
        <v>ZDK-ZFH</v>
      </c>
      <c r="L308" s="186" t="str">
        <f>IF(FN_MC!N303="","*",FN_MC!N303)</f>
        <v>ZDKZFH</v>
      </c>
      <c r="M308" s="97">
        <f>IF(FN_MC!J303="","*",FN_MC!J303)</f>
        <v>78</v>
      </c>
      <c r="N308" s="173">
        <f>IF(FN_MC!K303="","*",FN_MC!K303)</f>
        <v>251</v>
      </c>
      <c r="O308" s="173">
        <f>IF(FN_MC!L303="","*",FN_MC!L303)</f>
        <v>189</v>
      </c>
      <c r="P308" s="107">
        <f>IF(FN_MC!O303="","*",FN_MC!O303)</f>
        <v>0.375</v>
      </c>
      <c r="Q308" s="107">
        <f>IF(FN_MC!P303="","*",FN_MC!P303)</f>
        <v>4.1666666666666664E-2</v>
      </c>
      <c r="R308" s="96" t="str">
        <f>IF(FN_MC!Q303="","*",CONCATENATE(FN_MC!Q303," ",FN_MC!R303))</f>
        <v>1 BINÁRIO</v>
      </c>
      <c r="S308" s="96" t="str">
        <f>IF(FN_MC!V303="","*",FN_MC!V303)</f>
        <v>Josimar</v>
      </c>
      <c r="T308" s="96" t="str">
        <f>IF(FN_MC!W303="","*",FN_MC!W303)</f>
        <v>Inspeção auto de linha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Oportunidade</v>
      </c>
      <c r="C309" s="95" t="str">
        <f>IF(FN_MC!Z304="","*",FN_MC!Z304)</f>
        <v>*</v>
      </c>
      <c r="D309" s="96" t="str">
        <f>IF(FN_MC!S304="","*",FN_MC!S304)</f>
        <v>MALHA CENTRAL</v>
      </c>
      <c r="E309" s="96" t="str">
        <f>IF(FN_MC!T304="","*",FN_MC!T304)</f>
        <v>RAMAL</v>
      </c>
      <c r="F309" s="96">
        <f>IF(FN_MC!B304="","*",FN_MC!B304)</f>
        <v>46077</v>
      </c>
      <c r="G309" s="96" t="str">
        <f>IF(FN_MC!D304="","*",FN_MC!D304)</f>
        <v>E46</v>
      </c>
      <c r="H309" s="96" t="str">
        <f>IF(FN_MC!F304="","*",FN_MC!F304)</f>
        <v>DESLOCAMENTO</v>
      </c>
      <c r="I309" s="96" t="str">
        <f>IF(FN_MC!H304="","*",FN_MC!H304)</f>
        <v>ZTP</v>
      </c>
      <c r="J309" s="96" t="str">
        <f>IF(FN_MC!I304="","*",FN_MC!I304)</f>
        <v>TAP</v>
      </c>
      <c r="K309" s="96" t="str">
        <f>IF(FN_MC!M304="","*",FN_MC!M304)</f>
        <v>ZTP</v>
      </c>
      <c r="L309" s="186" t="str">
        <f>IF(FN_MC!N304="","*",FN_MC!N304)</f>
        <v>ZTP11</v>
      </c>
      <c r="M309" s="97">
        <f>IF(FN_MC!J304="","*",FN_MC!J304)</f>
        <v>78</v>
      </c>
      <c r="N309" s="173">
        <f>IF(FN_MC!K304="","*",FN_MC!K304)</f>
        <v>334.88799999999998</v>
      </c>
      <c r="O309" s="173">
        <f>IF(FN_MC!L304="","*",FN_MC!L304)</f>
        <v>24.84</v>
      </c>
      <c r="P309" s="107">
        <f>IF(FN_MC!O304="","*",FN_MC!O304)</f>
        <v>0.45833333333333331</v>
      </c>
      <c r="Q309" s="107">
        <f>IF(FN_MC!P304="","*",FN_MC!P304)</f>
        <v>4.1666666666666664E-2</v>
      </c>
      <c r="R309" s="96" t="str">
        <f>IF(FN_MC!Q304="","*",CONCATENATE(FN_MC!Q304," ",FN_MC!R304))</f>
        <v>1 BINÁRIO</v>
      </c>
      <c r="S309" s="96" t="str">
        <f>IF(FN_MC!V304="","*",FN_MC!V304)</f>
        <v>PCM</v>
      </c>
      <c r="T309" s="96" t="str">
        <f>IF(FN_MC!W304="","*",FN_MC!W304)</f>
        <v>Deslocamento de ZTP pra TAP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3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1816</v>
      </c>
      <c r="C2" s="83" t="s">
        <v>1197</v>
      </c>
      <c r="D2" s="83" t="s">
        <v>1199</v>
      </c>
      <c r="E2" s="83" t="s">
        <v>1817</v>
      </c>
      <c r="F2" s="83" t="s">
        <v>1818</v>
      </c>
      <c r="G2" s="83" t="s">
        <v>1819</v>
      </c>
      <c r="H2" s="83" t="s">
        <v>1820</v>
      </c>
      <c r="I2" s="83" t="s">
        <v>1821</v>
      </c>
      <c r="J2" s="83" t="s">
        <v>1822</v>
      </c>
      <c r="K2" s="109" t="s">
        <v>1823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TLA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W70</v>
      </c>
      <c r="E305" s="101" t="str">
        <f>IF(FN_MC!H265="","*",FN_MC!H265)</f>
        <v>TAG</v>
      </c>
      <c r="F305" s="114" t="str">
        <f>IF(FN_MC!M265="","*",FN_MC!M265)</f>
        <v>TAG-TOM</v>
      </c>
      <c r="G305" s="101" t="str">
        <f>IF(FN_MC!I265="","*",FN_MC!I265)</f>
        <v>TOM</v>
      </c>
      <c r="H305" s="101" t="str">
        <f>IF(FN_MC!AB265="","*",FN_MC!AB265)</f>
        <v>FIXO</v>
      </c>
      <c r="I305" s="101" t="str">
        <f>IF(FN_MC!AC265="","*",FN_MC!AC265)</f>
        <v>*</v>
      </c>
      <c r="J305" s="102" t="str">
        <f>IF(FN_MC!AA265="","*",FN_MC!AA265)</f>
        <v>2 (Enio e Daniel)</v>
      </c>
      <c r="K305" s="112">
        <f>IF(FN_MC!AD265="","*",FN_MC!AD265)</f>
        <v>0.29166666666666669</v>
      </c>
    </row>
    <row r="306" spans="2:1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ELSON</v>
      </c>
      <c r="E306" s="101" t="str">
        <f>IF(FN_MC!H266="","*",FN_MC!H266)</f>
        <v>-</v>
      </c>
      <c r="F306" s="114" t="str">
        <f>IF(FN_MC!M266="","*",FN_MC!M266)</f>
        <v>TLA-S</v>
      </c>
      <c r="G306" s="101" t="str">
        <f>IF(FN_MC!I266="","*",FN_MC!I266)</f>
        <v>-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FIXO</v>
      </c>
      <c r="I307" s="101" t="str">
        <f>IF(FN_MC!AC267="","*",FN_MC!AC267)</f>
        <v>*</v>
      </c>
      <c r="J307" s="102">
        <f>IF(FN_MC!AA267="","*",FN_MC!AA267)</f>
        <v>1</v>
      </c>
      <c r="K307" s="112" t="str">
        <f>IF(FN_MC!AD267="","*",FN_MC!AD267)</f>
        <v>*</v>
      </c>
    </row>
    <row r="308" spans="2:1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TVI-TJA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TIN</v>
      </c>
      <c r="F312" s="114" t="str">
        <f>IF(FN_MC!M272="","*",FN_MC!M272)</f>
        <v>TSP-TIN</v>
      </c>
      <c r="G312" s="101" t="str">
        <f>IF(FN_MC!I272="","*",FN_MC!I272)</f>
        <v>TIN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*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>
        <f>IF(FN_MC!B282="","*",FN_MC!B282)</f>
        <v>46077</v>
      </c>
      <c r="D322" s="101" t="str">
        <f>IF(FN_MC!D282="","*",FN_MC!D282)</f>
        <v>V86</v>
      </c>
      <c r="E322" s="101" t="str">
        <f>IF(FN_MC!H282="","*",FN_MC!H282)</f>
        <v xml:space="preserve">TIQ </v>
      </c>
      <c r="F322" s="114" t="str">
        <f>IF(FN_MC!M282="","*",FN_MC!M282)</f>
        <v>TBS</v>
      </c>
      <c r="G322" s="101" t="str">
        <f>IF(FN_MC!I282="","*",FN_MC!I282)</f>
        <v>TIQ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>
        <f>IF(FN_MC!B284="","*",FN_MC!B284)</f>
        <v>46077</v>
      </c>
      <c r="D324" s="101" t="str">
        <f>IF(FN_MC!D284="","*",FN_MC!D284)</f>
        <v>BRUNO (TF-525)</v>
      </c>
      <c r="E324" s="101" t="str">
        <f>IF(FN_MC!H284="","*",FN_MC!H284)</f>
        <v>TRMSUL</v>
      </c>
      <c r="F324" s="114" t="str">
        <f>IF(FN_MC!M284="","*",FN_MC!M284)</f>
        <v>TRM</v>
      </c>
      <c r="G324" s="101" t="str">
        <f>IF(FN_MC!I284="","*",FN_MC!I284)</f>
        <v>-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>
        <f>IF(FN_MC!B288="","*",FN_MC!B288)</f>
        <v>46077</v>
      </c>
      <c r="D328" s="101" t="str">
        <f>IF(FN_MC!D288="","*",FN_MC!D288)</f>
        <v>N70</v>
      </c>
      <c r="E328" s="101" t="str">
        <f>IF(FN_MC!H288="","*",FN_MC!H288)</f>
        <v>TOM</v>
      </c>
      <c r="F328" s="114" t="str">
        <f>IF(FN_MC!M288="","*",FN_MC!M288)</f>
        <v>TOM-TAG</v>
      </c>
      <c r="G328" s="101" t="str">
        <f>IF(FN_MC!I288="","*",FN_MC!I288)</f>
        <v>TAG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>
        <f>IF(FN_MC!B291="","*",FN_MC!B291)</f>
        <v>46077</v>
      </c>
      <c r="D331" s="101" t="str">
        <f>IF(FN_MC!D291="","*",FN_MC!D291)</f>
        <v>MARCOS (TF-520)</v>
      </c>
      <c r="E331" s="101">
        <f>IF(FN_MC!H291="","*",FN_MC!H291)</f>
        <v>239251</v>
      </c>
      <c r="F331" s="114" t="str">
        <f>IF(FN_MC!M291="","*",FN_MC!M291)</f>
        <v>TVI-TJA</v>
      </c>
      <c r="G331" s="101" t="str">
        <f>IF(FN_MC!I291="","*",FN_MC!I291)</f>
        <v>-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>
        <f>IF(FN_MC!B293="","*",FN_MC!B293)</f>
        <v>46077</v>
      </c>
      <c r="D333" s="101" t="str">
        <f>IF(FN_MC!D293="","*",FN_MC!D293)</f>
        <v>V48</v>
      </c>
      <c r="E333" s="101" t="str">
        <f>IF(FN_MC!H293="","*",FN_MC!H293)</f>
        <v>TVI1</v>
      </c>
      <c r="F333" s="114" t="str">
        <f>IF(FN_MC!M293="","*",FN_MC!M293)</f>
        <v>TVI-TJA</v>
      </c>
      <c r="G333" s="101" t="str">
        <f>IF(FN_MC!I293="","*",FN_MC!I293)</f>
        <v>TVI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>
        <f>IF(FN_MC!B295="","*",FN_MC!B295)</f>
        <v>46077</v>
      </c>
      <c r="D335" s="101" t="str">
        <f>IF(FN_MC!D295="","*",FN_MC!D295)</f>
        <v>W48</v>
      </c>
      <c r="E335" s="101" t="str">
        <f>IF(FN_MC!H295="","*",FN_MC!H295)</f>
        <v>TIN</v>
      </c>
      <c r="F335" s="114" t="str">
        <f>IF(FN_MC!M295="","*",FN_MC!M295)</f>
        <v>TSP-TIN</v>
      </c>
      <c r="G335" s="101" t="str">
        <f>IF(FN_MC!I295="","*",FN_MC!I295)</f>
        <v>TIN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>
        <f>IF(FN_MC!B297="","*",FN_MC!B297)</f>
        <v>46077</v>
      </c>
      <c r="D337" s="101" t="str">
        <f>IF(FN_MC!D297="","*",FN_MC!D297)</f>
        <v>W50</v>
      </c>
      <c r="E337" s="101" t="str">
        <f>IF(FN_MC!H297="","*",FN_MC!H297)</f>
        <v>TAP</v>
      </c>
      <c r="F337" s="114" t="str">
        <f>IF(FN_MC!M297="","*",FN_MC!M297)</f>
        <v>TQI-TSP</v>
      </c>
      <c r="G337" s="101" t="str">
        <f>IF(FN_MC!I297="","*",FN_MC!I297)</f>
        <v>TAP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>
        <f>IF(FN_MC!B299="","*",FN_MC!B299)</f>
        <v>46077</v>
      </c>
      <c r="D339" s="101" t="str">
        <f>IF(FN_MC!D299="","*",FN_MC!D299)</f>
        <v>A60</v>
      </c>
      <c r="E339" s="101" t="str">
        <f>IF(FN_MC!H299="","*",FN_MC!H299)</f>
        <v>TMI</v>
      </c>
      <c r="F339" s="114" t="str">
        <f>IF(FN_MC!M299="","*",FN_MC!M299)</f>
        <v>TMI-TIN</v>
      </c>
      <c r="G339" s="101" t="str">
        <f>IF(FN_MC!I299="","*",FN_MC!I299)</f>
        <v>TSJ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>
        <f>IF(FN_MC!B301="","*",FN_MC!B301)</f>
        <v>46077</v>
      </c>
      <c r="D341" s="101" t="str">
        <f>IF(FN_MC!D301="","*",FN_MC!D301)</f>
        <v>E18</v>
      </c>
      <c r="E341" s="101" t="str">
        <f>IF(FN_MC!H301="","*",FN_MC!H301)</f>
        <v>ZIQZQY</v>
      </c>
      <c r="F341" s="114" t="str">
        <f>IF(FN_MC!M301="","*",FN_MC!M301)</f>
        <v>ZIQ-ZQY</v>
      </c>
      <c r="G341" s="101" t="str">
        <f>IF(FN_MC!I301="","*",FN_MC!I301)</f>
        <v>-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>
        <f>IF(FN_MC!B303="","*",FN_MC!B303)</f>
        <v>46077</v>
      </c>
      <c r="D343" s="101" t="str">
        <f>IF(FN_MC!D303="","*",FN_MC!D303)</f>
        <v>A88</v>
      </c>
      <c r="E343" s="101" t="str">
        <f>IF(FN_MC!H303="","*",FN_MC!H303)</f>
        <v>ZDK</v>
      </c>
      <c r="F343" s="114" t="str">
        <f>IF(FN_MC!M303="","*",FN_MC!M303)</f>
        <v>ZDK-ZFH</v>
      </c>
      <c r="G343" s="101" t="str">
        <f>IF(FN_MC!I303="","*",FN_MC!I303)</f>
        <v>ZFH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>
        <f>IF(FN_MC!B304="","*",FN_MC!B304)</f>
        <v>46077</v>
      </c>
      <c r="D344" s="101" t="str">
        <f>IF(FN_MC!D304="","*",FN_MC!D304)</f>
        <v>E46</v>
      </c>
      <c r="E344" s="101" t="str">
        <f>IF(FN_MC!H304="","*",FN_MC!H304)</f>
        <v>ZTP</v>
      </c>
      <c r="F344" s="114" t="str">
        <f>IF(FN_MC!M304="","*",FN_MC!M304)</f>
        <v>ZTP</v>
      </c>
      <c r="G344" s="101" t="str">
        <f>IF(FN_MC!I304="","*",FN_MC!I304)</f>
        <v>TAP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1824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81" t="s">
        <v>1825</v>
      </c>
      <c r="C4" s="181" t="s">
        <v>1826</v>
      </c>
      <c r="D4" s="181" t="s">
        <v>1827</v>
      </c>
      <c r="E4" s="181" t="s">
        <v>1828</v>
      </c>
      <c r="F4" s="181" t="s">
        <v>366</v>
      </c>
      <c r="G4" s="181" t="s">
        <v>1829</v>
      </c>
    </row>
    <row r="5" spans="2:7">
      <c r="B5" s="182" t="s">
        <v>1830</v>
      </c>
      <c r="C5" s="182">
        <v>309525</v>
      </c>
      <c r="D5" s="182" t="s">
        <v>1831</v>
      </c>
      <c r="E5" s="182" t="s">
        <v>249</v>
      </c>
      <c r="F5" s="182" t="s">
        <v>1832</v>
      </c>
      <c r="G5" s="183">
        <v>46296</v>
      </c>
    </row>
    <row r="6" spans="2:7">
      <c r="B6" s="182" t="s">
        <v>1833</v>
      </c>
      <c r="C6" s="182">
        <v>257410</v>
      </c>
      <c r="D6" s="182" t="s">
        <v>1834</v>
      </c>
      <c r="E6" s="182" t="s">
        <v>249</v>
      </c>
      <c r="F6" s="182" t="s">
        <v>1832</v>
      </c>
      <c r="G6" s="183"/>
    </row>
    <row r="7" spans="2:7">
      <c r="B7" s="182" t="s">
        <v>1484</v>
      </c>
      <c r="C7" s="182">
        <v>256875</v>
      </c>
      <c r="D7" s="182" t="s">
        <v>1835</v>
      </c>
      <c r="E7" s="182" t="s">
        <v>249</v>
      </c>
      <c r="F7" s="182" t="s">
        <v>1832</v>
      </c>
      <c r="G7" s="183">
        <v>46296</v>
      </c>
    </row>
    <row r="8" spans="2:7">
      <c r="B8" s="182" t="s">
        <v>1836</v>
      </c>
      <c r="C8" s="182">
        <v>257278</v>
      </c>
      <c r="D8" s="182" t="s">
        <v>1837</v>
      </c>
      <c r="E8" s="182" t="s">
        <v>240</v>
      </c>
      <c r="F8" s="182" t="s">
        <v>1838</v>
      </c>
      <c r="G8" s="183">
        <v>46235</v>
      </c>
    </row>
    <row r="9" spans="2:7">
      <c r="B9" s="182" t="s">
        <v>1839</v>
      </c>
      <c r="C9" s="182">
        <v>261794</v>
      </c>
      <c r="D9" s="182" t="s">
        <v>1840</v>
      </c>
      <c r="E9" s="182" t="s">
        <v>240</v>
      </c>
      <c r="F9" s="182" t="s">
        <v>1838</v>
      </c>
      <c r="G9" s="183">
        <v>46082</v>
      </c>
    </row>
    <row r="10" spans="2:7">
      <c r="B10" s="182" t="s">
        <v>1841</v>
      </c>
      <c r="C10" s="182">
        <v>257033</v>
      </c>
      <c r="D10" s="182" t="s">
        <v>1842</v>
      </c>
      <c r="E10" s="182" t="s">
        <v>240</v>
      </c>
      <c r="F10" s="182" t="s">
        <v>480</v>
      </c>
      <c r="G10" s="182" t="s">
        <v>1843</v>
      </c>
    </row>
    <row r="11" spans="2:7">
      <c r="B11" s="182" t="s">
        <v>1844</v>
      </c>
      <c r="C11" s="182">
        <v>396578</v>
      </c>
      <c r="D11" s="182" t="s">
        <v>1845</v>
      </c>
      <c r="E11" s="182" t="s">
        <v>240</v>
      </c>
      <c r="F11" s="182" t="s">
        <v>480</v>
      </c>
      <c r="G11" s="182" t="s">
        <v>1843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9" t="s">
        <v>1846</v>
      </c>
      <c r="D5" s="270"/>
      <c r="E5" s="270"/>
      <c r="F5" s="270"/>
      <c r="G5" s="270"/>
      <c r="H5" s="270"/>
      <c r="I5" s="270"/>
      <c r="J5" s="271"/>
      <c r="K5" s="272" t="s">
        <v>1847</v>
      </c>
      <c r="L5" s="273"/>
      <c r="M5" s="273"/>
      <c r="N5" s="273"/>
      <c r="O5" s="274" t="s">
        <v>1848</v>
      </c>
      <c r="P5" s="275"/>
      <c r="Q5" s="276"/>
    </row>
    <row r="6" spans="1:17" s="81" customFormat="1" ht="15.75" customHeight="1">
      <c r="A6" s="75" t="s">
        <v>1814</v>
      </c>
      <c r="B6" s="82" t="s">
        <v>1813</v>
      </c>
      <c r="C6" s="83" t="s">
        <v>1212</v>
      </c>
      <c r="D6" s="84" t="s">
        <v>1213</v>
      </c>
      <c r="E6" s="83" t="s">
        <v>1849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1850</v>
      </c>
      <c r="M6" s="116" t="s">
        <v>29</v>
      </c>
      <c r="N6" s="117" t="s">
        <v>1207</v>
      </c>
      <c r="O6" s="159" t="s">
        <v>1250</v>
      </c>
      <c r="P6" s="128"/>
      <c r="Q6" s="138" t="s">
        <v>1851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Sem Oportunidade de faixa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Sem Oportunidade de faixa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MC1 08:30, aguarda oportunidade - Sem oportunidade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FERRONORTE</v>
      </c>
      <c r="D307" s="87" t="str">
        <f>IF(FN_MC!T263="","*",FN_MC!T263)</f>
        <v>TCS-TGR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TLA</v>
      </c>
      <c r="H307" s="125">
        <f>IF(FN_MC!K263="","*",FN_MC!K263)</f>
        <v>335.35899999999998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TLA</v>
      </c>
      <c r="M307" s="118">
        <f>IF(FN_MC!AP263="","*",FN_MC!AP263)</f>
        <v>335.35899999999998</v>
      </c>
      <c r="N307" s="118" t="str">
        <f>IF(FN_MC!AM263="","*",FN_MC!AM263)</f>
        <v>TLA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2</v>
      </c>
      <c r="P308" s="78"/>
      <c r="Q308" s="120" t="str">
        <f>IF($A$2=1,IF(FN_MC!BJ264="","*",FN_MC!BJ264),IF(FN_MC!BK264="","*",FN_MC!BK264))</f>
        <v>Intervalo das 09:06h as 10:26h</v>
      </c>
    </row>
    <row r="309" spans="1:17" hidden="1">
      <c r="A309" s="85" t="str">
        <f>IF(FN_MC!B265="","*",FN_MC!B265)</f>
        <v>*</v>
      </c>
      <c r="B309" s="86" t="str">
        <f>IF(FN_MC!X265="","*",FN_MC!X265)</f>
        <v>Oportunidade</v>
      </c>
      <c r="C309" s="87" t="str">
        <f>IF(FN_MC!S265="","*",FN_MC!S265)</f>
        <v>FERRONORTE</v>
      </c>
      <c r="D309" s="87" t="str">
        <f>IF(FN_MC!T265="","*",FN_MC!T265)</f>
        <v>TCS-TGR</v>
      </c>
      <c r="E309" s="87" t="str">
        <f>IF(FN_MC!D265="","*",FN_MC!D265)</f>
        <v>W70</v>
      </c>
      <c r="F309" s="87" t="str">
        <f>IF(FN_MC!H265="","*",FN_MC!H265)</f>
        <v>TAG</v>
      </c>
      <c r="G309" s="87" t="str">
        <f>IF(FN_MC!M265="","*",FN_MC!M265)</f>
        <v>TAG-TOM</v>
      </c>
      <c r="H309" s="125">
        <f>IF(FN_MC!K265="","*",FN_MC!K265)</f>
        <v>500</v>
      </c>
      <c r="I309" s="110">
        <f>IF(FN_MC!O265="","*",FN_MC!O265)</f>
        <v>0.4375</v>
      </c>
      <c r="J309" s="110">
        <f>IF(FN_MC!P265="","*",FN_MC!P265)</f>
        <v>4.1666666666666664E-2</v>
      </c>
      <c r="K309" s="118" t="str">
        <f>IF(FN_MC!AK265="","*",FN_MC!AK265)</f>
        <v>TAG</v>
      </c>
      <c r="L309" s="118" t="str">
        <f>IF(FN_MC!AM265="","*",FN_MC!AM265)</f>
        <v>TAG-TOM</v>
      </c>
      <c r="M309" s="118">
        <f>IF(FN_MC!AP265="","*",FN_MC!AP265)</f>
        <v>500</v>
      </c>
      <c r="N309" s="118" t="str">
        <f>IF(FN_MC!AM265="","*",FN_MC!AM265)</f>
        <v>TAG-TOM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ELSON</v>
      </c>
      <c r="F310" s="87" t="str">
        <f>IF(FN_MC!H266="","*",FN_MC!H266)</f>
        <v>-</v>
      </c>
      <c r="G310" s="87" t="str">
        <f>IF(FN_MC!M266="","*",FN_MC!M266)</f>
        <v>TLA-S</v>
      </c>
      <c r="H310" s="125">
        <f>IF(FN_MC!K266="","*",FN_MC!K266)</f>
        <v>335.35899999999998</v>
      </c>
      <c r="I310" s="110">
        <f>IF(FN_MC!O266="","*",FN_MC!O266)</f>
        <v>0.4375</v>
      </c>
      <c r="J310" s="110">
        <f>IF(FN_MC!P266="","*",FN_MC!P266)</f>
        <v>8.3333333333333329E-2</v>
      </c>
      <c r="K310" s="118" t="str">
        <f>IF(FN_MC!AK266="","*",FN_MC!AK266)</f>
        <v>-</v>
      </c>
      <c r="L310" s="118" t="str">
        <f>IF(FN_MC!AM266="","*",FN_MC!AM266)</f>
        <v>TLA-S</v>
      </c>
      <c r="M310" s="118">
        <f>IF(FN_MC!AP266="","*",FN_MC!AP266)</f>
        <v>335.35899999999998</v>
      </c>
      <c r="N310" s="118" t="str">
        <f>IF(FN_MC!AM266="","*",FN_MC!AM266)</f>
        <v>TLA-S</v>
      </c>
      <c r="O310" s="135">
        <f>FN_MC!BH266</f>
        <v>0</v>
      </c>
      <c r="P310" s="78"/>
      <c r="Q310" s="120" t="str">
        <f>IF($A$2=1,IF(FN_MC!BJ266="","*",FN_MC!BJ266),IF(FN_MC!BK266="","*",FN_MC!BK266))</f>
        <v>Chuva no local</v>
      </c>
    </row>
    <row r="311" spans="1:17" hidden="1">
      <c r="A311" s="85">
        <f>IF(FN_MC!B267="","*",FN_MC!B267)</f>
        <v>46076</v>
      </c>
      <c r="B311" s="86" t="str">
        <f>IF(FN_MC!X267="","*",FN_MC!X267)</f>
        <v>Contrato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1</v>
      </c>
      <c r="P311" s="78"/>
      <c r="Q311" s="120" t="str">
        <f>IF($A$2=1,IF(FN_MC!BJ267="","*",FN_MC!BJ267),IF(FN_MC!BK267="","*",FN_MC!BK267))</f>
        <v>MC1 08:37 - Licença as 12:06h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239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239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MC1 08:40, sem oportunidade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 xml:space="preserve">Equipe no local 08:05, sem oportunidade para intervalo 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TVI-TJA</v>
      </c>
      <c r="H315" s="125">
        <f>IF(FN_MC!K271="","*",FN_MC!K271)</f>
        <v>242.202</v>
      </c>
      <c r="I315" s="110">
        <f>IF(FN_MC!O271="","*",FN_MC!O271)</f>
        <v>0.375</v>
      </c>
      <c r="J315" s="110">
        <f>IF(FN_MC!P271="","*",FN_MC!P271)</f>
        <v>4.1666666666666664E-2</v>
      </c>
      <c r="K315" s="118" t="str">
        <f>IF(FN_MC!AK271="","*",FN_MC!AK271)</f>
        <v>TVI1</v>
      </c>
      <c r="L315" s="118" t="str">
        <f>IF(FN_MC!AM271="","*",FN_MC!AM271)</f>
        <v>TVI-TJA</v>
      </c>
      <c r="M315" s="118">
        <f>IF(FN_MC!AP271="","*",FN_MC!AP271)</f>
        <v>242.202</v>
      </c>
      <c r="N315" s="118" t="str">
        <f>IF(FN_MC!AM271="","*",FN_MC!AM271)</f>
        <v>TVI-TJA</v>
      </c>
      <c r="O315" s="135">
        <f>FN_MC!BH271</f>
        <v>2</v>
      </c>
      <c r="P315" s="78"/>
      <c r="Q315" s="120" t="str">
        <f>IF($A$2=1,IF(FN_MC!BJ271="","*",FN_MC!BJ271),IF(FN_MC!BK271="","*",FN_MC!BK271))</f>
        <v>Realizado a troca de 8m de trilho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TIN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TIN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MC1 08:35, aguarda manobra do I36 - perdeu a faixa devido manobra do I36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1</v>
      </c>
      <c r="P317" s="78"/>
      <c r="Q317" s="120" t="str">
        <f>IF($A$2=1,IF(FN_MC!BJ273="","*",FN_MC!BJ273),IF(FN_MC!BK273="","*",FN_MC!BK273))</f>
        <v>Licença as 13:03h, em intervalo 13:09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Cancelado - não consegiuram fazer saída no sistema de 7 barras carregadas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8.3333333333333329E-2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2</v>
      </c>
      <c r="P322" s="78"/>
      <c r="Q322" s="120" t="str">
        <f>IF($A$2=1,IF(FN_MC!BJ278="","*",FN_MC!BJ278),IF(FN_MC!BK278="","*",FN_MC!BK278))</f>
        <v>Ingtervalo das 10:25h as 12:32h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*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>
        <f>IF(FN_MC!B282="","*",FN_MC!B282)</f>
        <v>46077</v>
      </c>
      <c r="B326" s="86" t="str">
        <f>IF(FN_MC!X282="","*",FN_MC!X282)</f>
        <v>Contrato</v>
      </c>
      <c r="C326" s="87" t="str">
        <f>IF(FN_MC!S282="","*",FN_MC!S282)</f>
        <v>FERRONORTE</v>
      </c>
      <c r="D326" s="87" t="str">
        <f>IF(FN_MC!T282="","*",FN_MC!T282)</f>
        <v>TGR-TRO</v>
      </c>
      <c r="E326" s="87" t="str">
        <f>IF(FN_MC!D282="","*",FN_MC!D282)</f>
        <v>V86</v>
      </c>
      <c r="F326" s="87" t="str">
        <f>IF(FN_MC!H282="","*",FN_MC!H282)</f>
        <v xml:space="preserve">TIQ </v>
      </c>
      <c r="G326" s="87" t="str">
        <f>IF(FN_MC!M282="","*",FN_MC!M282)</f>
        <v>TBS</v>
      </c>
      <c r="H326" s="125">
        <f>IF(FN_MC!K282="","*",FN_MC!K282)</f>
        <v>659.976</v>
      </c>
      <c r="I326" s="110">
        <f>IF(FN_MC!O282="","*",FN_MC!O282)</f>
        <v>0.4375</v>
      </c>
      <c r="J326" s="110">
        <f>IF(FN_MC!P282="","*",FN_MC!P282)</f>
        <v>0.125</v>
      </c>
      <c r="K326" s="118" t="str">
        <f>IF(FN_MC!AK282="","*",FN_MC!AK282)</f>
        <v xml:space="preserve">TIQ </v>
      </c>
      <c r="L326" s="118" t="str">
        <f>IF(FN_MC!AM282="","*",FN_MC!AM282)</f>
        <v>TBS</v>
      </c>
      <c r="M326" s="118">
        <f>IF(FN_MC!AP282="","*",FN_MC!AP282)</f>
        <v>659.976</v>
      </c>
      <c r="N326" s="118" t="str">
        <f>IF(FN_MC!AM282="","*",FN_MC!AM282)</f>
        <v>TBS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>
        <f>IF(FN_MC!B284="","*",FN_MC!B284)</f>
        <v>46077</v>
      </c>
      <c r="B328" s="86" t="str">
        <f>IF(FN_MC!X284="","*",FN_MC!X284)</f>
        <v>Oportunidade</v>
      </c>
      <c r="C328" s="87" t="str">
        <f>IF(FN_MC!S284="","*",FN_MC!S284)</f>
        <v>FERRONORTE</v>
      </c>
      <c r="D328" s="87" t="str">
        <f>IF(FN_MC!T284="","*",FN_MC!T284)</f>
        <v>TGR-TRO</v>
      </c>
      <c r="E328" s="87" t="str">
        <f>IF(FN_MC!D284="","*",FN_MC!D284)</f>
        <v>BRUNO (TF-525)</v>
      </c>
      <c r="F328" s="87" t="str">
        <f>IF(FN_MC!H284="","*",FN_MC!H284)</f>
        <v>TRMSUL</v>
      </c>
      <c r="G328" s="87" t="str">
        <f>IF(FN_MC!M284="","*",FN_MC!M284)</f>
        <v>TRM</v>
      </c>
      <c r="H328" s="125">
        <f>IF(FN_MC!K284="","*",FN_MC!K284)</f>
        <v>548.20000000000005</v>
      </c>
      <c r="I328" s="110">
        <f>IF(FN_MC!O284="","*",FN_MC!O284)</f>
        <v>0.375</v>
      </c>
      <c r="J328" s="110">
        <f>IF(FN_MC!P284="","*",FN_MC!P284)</f>
        <v>6.25E-2</v>
      </c>
      <c r="K328" s="118" t="str">
        <f>IF(FN_MC!AK284="","*",FN_MC!AK284)</f>
        <v>TRMSUL</v>
      </c>
      <c r="L328" s="118" t="str">
        <f>IF(FN_MC!AM284="","*",FN_MC!AM284)</f>
        <v>TRM</v>
      </c>
      <c r="M328" s="118">
        <f>IF(FN_MC!AP284="","*",FN_MC!AP284)</f>
        <v>548.20000000000005</v>
      </c>
      <c r="N328" s="118" t="str">
        <f>IF(FN_MC!AM284="","*",FN_MC!AM284)</f>
        <v>TRM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>
        <f>IF(FN_MC!B288="","*",FN_MC!B288)</f>
        <v>46077</v>
      </c>
      <c r="B332" s="86" t="str">
        <f>IF(FN_MC!X288="","*",FN_MC!X288)</f>
        <v>Oportunidade</v>
      </c>
      <c r="C332" s="87" t="str">
        <f>IF(FN_MC!S288="","*",FN_MC!S288)</f>
        <v>FERRONORTE</v>
      </c>
      <c r="D332" s="87" t="str">
        <f>IF(FN_MC!T288="","*",FN_MC!T288)</f>
        <v>TCS-TGR</v>
      </c>
      <c r="E332" s="87" t="str">
        <f>IF(FN_MC!D288="","*",FN_MC!D288)</f>
        <v>N70</v>
      </c>
      <c r="F332" s="87" t="str">
        <f>IF(FN_MC!H288="","*",FN_MC!H288)</f>
        <v>TOM</v>
      </c>
      <c r="G332" s="87" t="str">
        <f>IF(FN_MC!M288="","*",FN_MC!M288)</f>
        <v>TOM-TAG</v>
      </c>
      <c r="H332" s="125">
        <f>IF(FN_MC!K288="","*",FN_MC!K288)</f>
        <v>404</v>
      </c>
      <c r="I332" s="110">
        <f>IF(FN_MC!O288="","*",FN_MC!O288)</f>
        <v>0.625</v>
      </c>
      <c r="J332" s="110">
        <f>IF(FN_MC!P288="","*",FN_MC!P288)</f>
        <v>4.1666666666666664E-2</v>
      </c>
      <c r="K332" s="118" t="str">
        <f>IF(FN_MC!AK288="","*",FN_MC!AK288)</f>
        <v>TOM</v>
      </c>
      <c r="L332" s="118" t="str">
        <f>IF(FN_MC!AM288="","*",FN_MC!AM288)</f>
        <v>TOM-TAG</v>
      </c>
      <c r="M332" s="118">
        <f>IF(FN_MC!AP288="","*",FN_MC!AP288)</f>
        <v>404</v>
      </c>
      <c r="N332" s="118" t="str">
        <f>IF(FN_MC!AM288="","*",FN_MC!AM288)</f>
        <v>TOM-TAG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>
        <f>IF(FN_MC!B291="","*",FN_MC!B291)</f>
        <v>46077</v>
      </c>
      <c r="B335" s="86" t="str">
        <f>IF(FN_MC!X291="","*",FN_MC!X291)</f>
        <v>Oportunidade</v>
      </c>
      <c r="C335" s="87" t="str">
        <f>IF(FN_MC!S291="","*",FN_MC!S291)</f>
        <v>FERRONORTE</v>
      </c>
      <c r="D335" s="87" t="str">
        <f>IF(FN_MC!T291="","*",FN_MC!T291)</f>
        <v>TMI-TCS</v>
      </c>
      <c r="E335" s="87" t="str">
        <f>IF(FN_MC!D291="","*",FN_MC!D291)</f>
        <v>MARCOS (TF-520)</v>
      </c>
      <c r="F335" s="87">
        <f>IF(FN_MC!H291="","*",FN_MC!H291)</f>
        <v>239251</v>
      </c>
      <c r="G335" s="87" t="str">
        <f>IF(FN_MC!M291="","*",FN_MC!M291)</f>
        <v>TVI-TJA</v>
      </c>
      <c r="H335" s="125">
        <f>IF(FN_MC!K291="","*",FN_MC!K291)</f>
        <v>242.202</v>
      </c>
      <c r="I335" s="110">
        <f>IF(FN_MC!O291="","*",FN_MC!O291)</f>
        <v>0.375</v>
      </c>
      <c r="J335" s="110">
        <f>IF(FN_MC!P291="","*",FN_MC!P291)</f>
        <v>0.125</v>
      </c>
      <c r="K335" s="118">
        <f>IF(FN_MC!AK291="","*",FN_MC!AK291)</f>
        <v>239251</v>
      </c>
      <c r="L335" s="118" t="str">
        <f>IF(FN_MC!AM291="","*",FN_MC!AM291)</f>
        <v>TVI-TJA</v>
      </c>
      <c r="M335" s="118">
        <f>IF(FN_MC!AP291="","*",FN_MC!AP291)</f>
        <v>242.202</v>
      </c>
      <c r="N335" s="118" t="str">
        <f>IF(FN_MC!AM291="","*",FN_MC!AM291)</f>
        <v>TVI-TJA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>
        <f>IF(FN_MC!B293="","*",FN_MC!B293)</f>
        <v>46077</v>
      </c>
      <c r="B337" s="86" t="str">
        <f>IF(FN_MC!X293="","*",FN_MC!X293)</f>
        <v>Oportunidade</v>
      </c>
      <c r="C337" s="87" t="str">
        <f>IF(FN_MC!S293="","*",FN_MC!S293)</f>
        <v>FERRONORTE</v>
      </c>
      <c r="D337" s="87" t="str">
        <f>IF(FN_MC!T293="","*",FN_MC!T293)</f>
        <v>TMI-TCS</v>
      </c>
      <c r="E337" s="87" t="str">
        <f>IF(FN_MC!D293="","*",FN_MC!D293)</f>
        <v>V48</v>
      </c>
      <c r="F337" s="87" t="str">
        <f>IF(FN_MC!H293="","*",FN_MC!H293)</f>
        <v>TVI1</v>
      </c>
      <c r="G337" s="87" t="str">
        <f>IF(FN_MC!M293="","*",FN_MC!M293)</f>
        <v>TVI-TJA</v>
      </c>
      <c r="H337" s="125">
        <f>IF(FN_MC!K293="","*",FN_MC!K293)</f>
        <v>237.827</v>
      </c>
      <c r="I337" s="110">
        <f>IF(FN_MC!O293="","*",FN_MC!O293)</f>
        <v>0.375</v>
      </c>
      <c r="J337" s="110">
        <f>IF(FN_MC!P293="","*",FN_MC!P293)</f>
        <v>8.3333333333333329E-2</v>
      </c>
      <c r="K337" s="118" t="str">
        <f>IF(FN_MC!AK293="","*",FN_MC!AK293)</f>
        <v>TVI1</v>
      </c>
      <c r="L337" s="118" t="str">
        <f>IF(FN_MC!AM293="","*",FN_MC!AM293)</f>
        <v>TVI-TJA</v>
      </c>
      <c r="M337" s="118">
        <f>IF(FN_MC!AP293="","*",FN_MC!AP293)</f>
        <v>237.827</v>
      </c>
      <c r="N337" s="118" t="str">
        <f>IF(FN_MC!AM293="","*",FN_MC!AM293)</f>
        <v>TVI-TJA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>
        <f>IF(FN_MC!B295="","*",FN_MC!B295)</f>
        <v>46077</v>
      </c>
      <c r="B339" s="86" t="str">
        <f>IF(FN_MC!X295="","*",FN_MC!X295)</f>
        <v>Contrato</v>
      </c>
      <c r="C339" s="87" t="str">
        <f>IF(FN_MC!S295="","*",FN_MC!S295)</f>
        <v>FERRONORTE</v>
      </c>
      <c r="D339" s="87" t="str">
        <f>IF(FN_MC!T295="","*",FN_MC!T295)</f>
        <v>TMI-TCS</v>
      </c>
      <c r="E339" s="87" t="str">
        <f>IF(FN_MC!D295="","*",FN_MC!D295)</f>
        <v>W48</v>
      </c>
      <c r="F339" s="87" t="str">
        <f>IF(FN_MC!H295="","*",FN_MC!H295)</f>
        <v>TIN</v>
      </c>
      <c r="G339" s="87" t="str">
        <f>IF(FN_MC!M295="","*",FN_MC!M295)</f>
        <v>TSP-TIN</v>
      </c>
      <c r="H339" s="125">
        <f>IF(FN_MC!K295="","*",FN_MC!K295)</f>
        <v>104.8</v>
      </c>
      <c r="I339" s="110">
        <f>IF(FN_MC!O295="","*",FN_MC!O295)</f>
        <v>0.375</v>
      </c>
      <c r="J339" s="110">
        <f>IF(FN_MC!P295="","*",FN_MC!P295)</f>
        <v>0.16666666666666666</v>
      </c>
      <c r="K339" s="118" t="str">
        <f>IF(FN_MC!AK295="","*",FN_MC!AK295)</f>
        <v>TIN</v>
      </c>
      <c r="L339" s="118" t="str">
        <f>IF(FN_MC!AM295="","*",FN_MC!AM295)</f>
        <v>TSP-TIN</v>
      </c>
      <c r="M339" s="118">
        <f>IF(FN_MC!AP295="","*",FN_MC!AP295)</f>
        <v>104.8</v>
      </c>
      <c r="N339" s="118" t="str">
        <f>IF(FN_MC!AM295="","*",FN_MC!AM295)</f>
        <v>TSP-TIN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>
        <f>IF(FN_MC!B297="","*",FN_MC!B297)</f>
        <v>46077</v>
      </c>
      <c r="B341" s="86" t="str">
        <f>IF(FN_MC!X297="","*",FN_MC!X297)</f>
        <v>Contrato</v>
      </c>
      <c r="C341" s="87" t="str">
        <f>IF(FN_MC!S297="","*",FN_MC!S297)</f>
        <v>FERRONORTE</v>
      </c>
      <c r="D341" s="87" t="str">
        <f>IF(FN_MC!T297="","*",FN_MC!T297)</f>
        <v>TMI-TCS</v>
      </c>
      <c r="E341" s="87" t="str">
        <f>IF(FN_MC!D297="","*",FN_MC!D297)</f>
        <v>W50</v>
      </c>
      <c r="F341" s="87" t="str">
        <f>IF(FN_MC!H297="","*",FN_MC!H297)</f>
        <v>TAP</v>
      </c>
      <c r="G341" s="87" t="str">
        <f>IF(FN_MC!M297="","*",FN_MC!M297)</f>
        <v>TQI-TSP</v>
      </c>
      <c r="H341" s="125">
        <f>IF(FN_MC!K297="","*",FN_MC!K297)</f>
        <v>62.2</v>
      </c>
      <c r="I341" s="110">
        <f>IF(FN_MC!O297="","*",FN_MC!O297)</f>
        <v>0.35416666666666669</v>
      </c>
      <c r="J341" s="110">
        <f>IF(FN_MC!P297="","*",FN_MC!P297)</f>
        <v>0.125</v>
      </c>
      <c r="K341" s="118" t="str">
        <f>IF(FN_MC!AK297="","*",FN_MC!AK297)</f>
        <v>TAP</v>
      </c>
      <c r="L341" s="118" t="str">
        <f>IF(FN_MC!AM297="","*",FN_MC!AM297)</f>
        <v>TQI-TSP</v>
      </c>
      <c r="M341" s="118">
        <f>IF(FN_MC!AP297="","*",FN_MC!AP297)</f>
        <v>62.2</v>
      </c>
      <c r="N341" s="118" t="str">
        <f>IF(FN_MC!AM297="","*",FN_MC!AM297)</f>
        <v>TQI-TSP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>
        <f>IF(FN_MC!B299="","*",FN_MC!B299)</f>
        <v>46077</v>
      </c>
      <c r="B343" s="86" t="str">
        <f>IF(FN_MC!X299="","*",FN_MC!X299)</f>
        <v>Oportunidade</v>
      </c>
      <c r="C343" s="87" t="str">
        <f>IF(FN_MC!S299="","*",FN_MC!S299)</f>
        <v>FERRONORTE</v>
      </c>
      <c r="D343" s="87" t="str">
        <f>IF(FN_MC!T299="","*",FN_MC!T299)</f>
        <v>TMI-TCS</v>
      </c>
      <c r="E343" s="87" t="str">
        <f>IF(FN_MC!D299="","*",FN_MC!D299)</f>
        <v>A60</v>
      </c>
      <c r="F343" s="87" t="str">
        <f>IF(FN_MC!H299="","*",FN_MC!H299)</f>
        <v>TMI</v>
      </c>
      <c r="G343" s="87" t="str">
        <f>IF(FN_MC!M299="","*",FN_MC!M299)</f>
        <v>TMI-TIN</v>
      </c>
      <c r="H343" s="125">
        <f>IF(FN_MC!K299="","*",FN_MC!K299)</f>
        <v>0</v>
      </c>
      <c r="I343" s="110">
        <f>IF(FN_MC!O299="","*",FN_MC!O299)</f>
        <v>0.33333333333333331</v>
      </c>
      <c r="J343" s="110">
        <f>IF(FN_MC!P299="","*",FN_MC!P299)</f>
        <v>4.1666666666666664E-2</v>
      </c>
      <c r="K343" s="118" t="str">
        <f>IF(FN_MC!AK299="","*",FN_MC!AK299)</f>
        <v>TMI</v>
      </c>
      <c r="L343" s="118" t="str">
        <f>IF(FN_MC!AM299="","*",FN_MC!AM299)</f>
        <v>TMI-TIN</v>
      </c>
      <c r="M343" s="118" t="str">
        <f>IF(FN_MC!AP299="","*",FN_MC!AP299)</f>
        <v>-</v>
      </c>
      <c r="N343" s="118" t="str">
        <f>IF(FN_MC!AM299="","*",FN_MC!AM299)</f>
        <v>TMI-TIN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>
        <f>IF(FN_MC!B301="","*",FN_MC!B301)</f>
        <v>46077</v>
      </c>
      <c r="B345" s="86" t="str">
        <f>IF(FN_MC!X301="","*",FN_MC!X301)</f>
        <v>Oportunidade</v>
      </c>
      <c r="C345" s="87" t="str">
        <f>IF(FN_MC!S301="","*",FN_MC!S301)</f>
        <v>MALHA CENTRAL</v>
      </c>
      <c r="D345" s="87" t="str">
        <f>IF(FN_MC!T301="","*",FN_MC!T301)</f>
        <v>RAMAL</v>
      </c>
      <c r="E345" s="87" t="str">
        <f>IF(FN_MC!D301="","*",FN_MC!D301)</f>
        <v>E18</v>
      </c>
      <c r="F345" s="87" t="str">
        <f>IF(FN_MC!H301="","*",FN_MC!H301)</f>
        <v>ZIQZQY</v>
      </c>
      <c r="G345" s="87" t="str">
        <f>IF(FN_MC!M301="","*",FN_MC!M301)</f>
        <v>ZIQ-ZQY</v>
      </c>
      <c r="H345" s="125">
        <f>IF(FN_MC!K301="","*",FN_MC!K301)</f>
        <v>177.22</v>
      </c>
      <c r="I345" s="110">
        <f>IF(FN_MC!O301="","*",FN_MC!O301)</f>
        <v>0.35416666666666669</v>
      </c>
      <c r="J345" s="110">
        <f>IF(FN_MC!P301="","*",FN_MC!P301)</f>
        <v>0.125</v>
      </c>
      <c r="K345" s="118" t="str">
        <f>IF(FN_MC!AK301="","*",FN_MC!AK301)</f>
        <v>ZIQZQY</v>
      </c>
      <c r="L345" s="118" t="str">
        <f>IF(FN_MC!AM301="","*",FN_MC!AM301)</f>
        <v>ZIQ-ZQY</v>
      </c>
      <c r="M345" s="118">
        <f>IF(FN_MC!AP301="","*",FN_MC!AP301)</f>
        <v>177.22</v>
      </c>
      <c r="N345" s="118" t="str">
        <f>IF(FN_MC!AM301="","*",FN_MC!AM301)</f>
        <v>ZIQ-ZQY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>
        <f>IF(FN_MC!B303="","*",FN_MC!B303)</f>
        <v>46077</v>
      </c>
      <c r="B347" s="86" t="str">
        <f>IF(FN_MC!X303="","*",FN_MC!X303)</f>
        <v>Oportunidade</v>
      </c>
      <c r="C347" s="87" t="str">
        <f>IF(FN_MC!S303="","*",FN_MC!S303)</f>
        <v>MALHA CENTRAL</v>
      </c>
      <c r="D347" s="87" t="str">
        <f>IF(FN_MC!T303="","*",FN_MC!T303)</f>
        <v>RAMAL</v>
      </c>
      <c r="E347" s="87" t="str">
        <f>IF(FN_MC!D303="","*",FN_MC!D303)</f>
        <v>A88</v>
      </c>
      <c r="F347" s="87" t="str">
        <f>IF(FN_MC!H303="","*",FN_MC!H303)</f>
        <v>ZDK</v>
      </c>
      <c r="G347" s="87" t="str">
        <f>IF(FN_MC!M303="","*",FN_MC!M303)</f>
        <v>ZDK-ZFH</v>
      </c>
      <c r="H347" s="125">
        <f>IF(FN_MC!K303="","*",FN_MC!K303)</f>
        <v>251</v>
      </c>
      <c r="I347" s="110">
        <f>IF(FN_MC!O303="","*",FN_MC!O303)</f>
        <v>0.375</v>
      </c>
      <c r="J347" s="110">
        <f>IF(FN_MC!P303="","*",FN_MC!P303)</f>
        <v>4.1666666666666664E-2</v>
      </c>
      <c r="K347" s="118" t="str">
        <f>IF(FN_MC!AK303="","*",FN_MC!AK303)</f>
        <v>ZDK</v>
      </c>
      <c r="L347" s="118" t="str">
        <f>IF(FN_MC!AM303="","*",FN_MC!AM303)</f>
        <v>ZDK-ZFH</v>
      </c>
      <c r="M347" s="118">
        <f>IF(FN_MC!AP303="","*",FN_MC!AP303)</f>
        <v>251</v>
      </c>
      <c r="N347" s="118" t="str">
        <f>IF(FN_MC!AM303="","*",FN_MC!AM303)</f>
        <v>ZDK-ZFH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>
        <f>IF(FN_MC!B304="","*",FN_MC!B304)</f>
        <v>46077</v>
      </c>
      <c r="B348" s="86" t="str">
        <f>IF(FN_MC!X304="","*",FN_MC!X304)</f>
        <v>Oportunidade</v>
      </c>
      <c r="C348" s="87" t="str">
        <f>IF(FN_MC!S304="","*",FN_MC!S304)</f>
        <v>MALHA CENTRAL</v>
      </c>
      <c r="D348" s="87" t="str">
        <f>IF(FN_MC!T304="","*",FN_MC!T304)</f>
        <v>RAMAL</v>
      </c>
      <c r="E348" s="87" t="str">
        <f>IF(FN_MC!D304="","*",FN_MC!D304)</f>
        <v>E46</v>
      </c>
      <c r="F348" s="87" t="str">
        <f>IF(FN_MC!H304="","*",FN_MC!H304)</f>
        <v>ZTP</v>
      </c>
      <c r="G348" s="87" t="str">
        <f>IF(FN_MC!M304="","*",FN_MC!M304)</f>
        <v>ZTP</v>
      </c>
      <c r="H348" s="125">
        <f>IF(FN_MC!K304="","*",FN_MC!K304)</f>
        <v>334.88799999999998</v>
      </c>
      <c r="I348" s="110">
        <f>IF(FN_MC!O304="","*",FN_MC!O304)</f>
        <v>0.45833333333333331</v>
      </c>
      <c r="J348" s="110">
        <f>IF(FN_MC!P304="","*",FN_MC!P304)</f>
        <v>4.1666666666666664E-2</v>
      </c>
      <c r="K348" s="118" t="str">
        <f>IF(FN_MC!AK304="","*",FN_MC!AK304)</f>
        <v>ZTP</v>
      </c>
      <c r="L348" s="118" t="str">
        <f>IF(FN_MC!AM304="","*",FN_MC!AM304)</f>
        <v>ZTP</v>
      </c>
      <c r="M348" s="118">
        <f>IF(FN_MC!AP304="","*",FN_MC!AP304)</f>
        <v>334.88799999999998</v>
      </c>
      <c r="N348" s="118" t="str">
        <f>IF(FN_MC!AM304="","*",FN_MC!AM304)</f>
        <v>ZTP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1852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2026-02-23T17:56:28Z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