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99" documentId="8_{B6337239-1A00-434D-AAD0-422EA1FEB5AE}" xr6:coauthVersionLast="47" xr6:coauthVersionMax="47" xr10:uidLastSave="{9833B4DA-84EE-4147-8094-E83E97D236F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J70" i="1"/>
  <c r="AK70" i="1"/>
  <c r="K80" i="11" s="1"/>
  <c r="AL70" i="1"/>
  <c r="AM70" i="1"/>
  <c r="AN70" i="1"/>
  <c r="AO70" i="1"/>
  <c r="BE70" i="1" s="1"/>
  <c r="M80" i="1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R86" i="16" s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R92" i="16" s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R94" i="16" s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R95" i="16" s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R96" i="16" s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 s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09" i="1" l="1"/>
  <c r="BQ206" i="1"/>
  <c r="BD91" i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K95" i="16"/>
  <c r="AM83" i="1"/>
  <c r="K92" i="16"/>
  <c r="AM80" i="1"/>
  <c r="K105" i="16"/>
  <c r="AM93" i="1"/>
  <c r="K102" i="16"/>
  <c r="AM90" i="1"/>
  <c r="K99" i="16"/>
  <c r="AM87" i="1"/>
  <c r="K96" i="16"/>
  <c r="AM84" i="1"/>
  <c r="K94" i="16"/>
  <c r="AM82" i="1"/>
  <c r="K107" i="16"/>
  <c r="AM95" i="1"/>
  <c r="L109" i="11" s="1"/>
  <c r="K103" i="16"/>
  <c r="AM91" i="1"/>
  <c r="K100" i="16"/>
  <c r="AM88" i="1"/>
  <c r="K98" i="16"/>
  <c r="AM86" i="1"/>
  <c r="K93" i="16"/>
  <c r="AM81" i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06" i="11" l="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<sst xmlns="http://schemas.openxmlformats.org/spreadsheetml/2006/main" count="4956" uniqueCount="1467">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</sst>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BF1" activePane="topRight" state="frozen"/>
      <selection pane="topRight" activeCell="BM70" sqref="BM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 t="s">
        <v>1023</v>
      </c>
      <c r="BN64" s="12" t="s">
        <v>1044</v>
      </c>
      <c r="BO64" s="130" t="s">
        <v>1154</v>
      </c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>CCOCirculaçãoIntervaloContrato</v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 t="s">
        <v>1392</v>
      </c>
      <c r="BL65" s="13"/>
      <c r="BM65" s="12" t="s">
        <v>1023</v>
      </c>
      <c r="BN65" s="12" t="s">
        <v>1053</v>
      </c>
      <c r="BO65" s="130" t="s">
        <v>1115</v>
      </c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>CCOCirculaçãoIntervaloOportunidade</v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0.125</v>
      </c>
      <c r="Q66" s="71">
        <v>2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999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 t="s">
        <v>1023</v>
      </c>
      <c r="BN66" s="12" t="s">
        <v>1044</v>
      </c>
      <c r="BO66" s="130" t="s">
        <v>1154</v>
      </c>
      <c r="BP66" s="14"/>
      <c r="BQ66" s="10" t="str">
        <f t="shared" si="8"/>
        <v>Produção e Intervalo</v>
      </c>
      <c r="BR66" s="15">
        <f t="shared" si="9"/>
        <v>0.4444444444444442</v>
      </c>
      <c r="BS66" s="15">
        <f t="shared" si="10"/>
        <v>0.5</v>
      </c>
      <c r="BT66" s="157" t="str">
        <f t="shared" si="11"/>
        <v>CCOCirculaçãoIntervaloContrato</v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>
        <v>0.32847222222222222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1395</v>
      </c>
      <c r="BK67" s="14" t="s">
        <v>1396</v>
      </c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1397</v>
      </c>
      <c r="N68" s="149" t="s">
        <v>1398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>
        <v>80</v>
      </c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2</v>
      </c>
      <c r="BI68" s="14"/>
      <c r="BJ68" s="14" t="s">
        <v>1399</v>
      </c>
      <c r="BK68" s="14" t="s">
        <v>1399</v>
      </c>
      <c r="BL68" s="13"/>
      <c r="BM68" s="12" t="s">
        <v>1028</v>
      </c>
      <c r="BN68" s="12" t="s">
        <v>1028</v>
      </c>
      <c r="BO68" s="130" t="s">
        <v>1028</v>
      </c>
      <c r="BP68" s="14" t="s">
        <v>11</v>
      </c>
      <c r="BQ68" s="10" t="str">
        <f t="shared" si="8"/>
        <v>Aderente</v>
      </c>
      <c r="BR68" s="15">
        <f t="shared" si="9"/>
        <v>1.0000000000000004</v>
      </c>
      <c r="BS68" s="15">
        <f t="shared" si="10"/>
        <v>1</v>
      </c>
      <c r="BT68" s="157" t="str">
        <f t="shared" si="11"/>
        <v>OKOK</v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1400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1401</v>
      </c>
      <c r="BK69" s="14" t="s">
        <v>1402</v>
      </c>
      <c r="BL69" s="13"/>
      <c r="BM69" s="12" t="s">
        <v>1023</v>
      </c>
      <c r="BN69" s="12" t="s">
        <v>1053</v>
      </c>
      <c r="BO69" s="130" t="s">
        <v>1115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">
        <v>152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v>286.32</v>
      </c>
      <c r="AQ70" s="177">
        <v>270.8</v>
      </c>
      <c r="AR70" s="32">
        <v>0.34444444444444444</v>
      </c>
      <c r="AS70" s="32">
        <v>0.39861111111111114</v>
      </c>
      <c r="AT70" s="32">
        <v>0.4201388888888889</v>
      </c>
      <c r="AU70" s="32">
        <v>0.4284722222222222</v>
      </c>
      <c r="AV70" s="32">
        <v>0.44930555555555557</v>
      </c>
      <c r="AW70" s="32"/>
      <c r="AX70" s="32"/>
      <c r="AY70" s="184">
        <f>IF(D70="","*",IFERROR(IF(ISODD(COUNT(AS70:AX72)),"ERRO",SUM((AT70-AS70),(AV70-AU70),(AX70-AW70))),"ERRO"))</f>
        <v>4.2361111111111127E-2</v>
      </c>
      <c r="AZ70" s="11"/>
      <c r="BA70" s="60">
        <v>108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2</v>
      </c>
      <c r="BI70" s="14"/>
      <c r="BJ70" s="14" t="s">
        <v>1403</v>
      </c>
      <c r="BK70" s="14" t="s">
        <v>1404</v>
      </c>
      <c r="BL70" s="13"/>
      <c r="BM70" s="12" t="s">
        <v>1026</v>
      </c>
      <c r="BN70" s="12" t="s">
        <v>1054</v>
      </c>
      <c r="BO70" s="130" t="s">
        <v>1106</v>
      </c>
      <c r="BP70" s="14"/>
      <c r="BQ70" s="10" t="str">
        <f t="shared" si="8"/>
        <v>Produção e Intervalo</v>
      </c>
      <c r="BR70" s="15">
        <f t="shared" si="9"/>
        <v>0.33888888888888902</v>
      </c>
      <c r="BS70" s="15">
        <f t="shared" si="10"/>
        <v>0.108</v>
      </c>
      <c r="BT70" s="157" t="str">
        <f t="shared" si="11"/>
        <v>ModernizaçãoExecução</v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1405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1406</v>
      </c>
      <c r="N72" s="149" t="s">
        <v>1407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1408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>
        <v>0.45694444444444443</v>
      </c>
      <c r="AS72" s="32">
        <v>0.45902777777777776</v>
      </c>
      <c r="AT72" s="32">
        <v>0.50069444444444444</v>
      </c>
      <c r="AU72" s="32"/>
      <c r="AV72" s="32"/>
      <c r="AW72" s="32"/>
      <c r="AX72" s="32"/>
      <c r="AY72" s="184">
        <f>IF(D72="","*",IFERROR(IF(ISODD(COUNT(AS72:AX73)),"ERRO",SUM((AT72-AS72),(AV72-AU72),(AX72-AW72))),"ERRO"))</f>
        <v>4.1666666666666685E-2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1409</v>
      </c>
      <c r="BK72" s="14" t="s">
        <v>1409</v>
      </c>
      <c r="BL72" s="13"/>
      <c r="BM72" s="12"/>
      <c r="BN72" s="12"/>
      <c r="BO72" s="130"/>
      <c r="BP72" s="14"/>
      <c r="BQ72" s="10" t="str">
        <f t="shared" si="8"/>
        <v>Produção</v>
      </c>
      <c r="BR72" s="15">
        <f t="shared" si="9"/>
        <v>1.0000000000000004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1410</v>
      </c>
      <c r="W75" s="135" t="s">
        <v>1314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 t="s">
        <v>1004</v>
      </c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</v>
      </c>
      <c r="B78" s="133"/>
      <c r="C78" s="7" t="str">
        <f>IF(BS_CONTROLE[[#This Row],[DATA]]="","",WEEKNUM(BS_CONTROLE[[#This Row],[DATA]]))</f>
        <v/>
      </c>
      <c r="D78" s="45" t="s">
        <v>334</v>
      </c>
      <c r="E78" s="185">
        <v>86</v>
      </c>
      <c r="F78" s="134" t="s">
        <v>193</v>
      </c>
      <c r="G78" s="8" t="str">
        <f>IF(D78="","*",VLOOKUP(F78,BS_ATIVIDADE[#All],3,FALSE))</f>
        <v>SOLDA</v>
      </c>
      <c r="H78" s="135"/>
      <c r="I78" s="135"/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/>
      <c r="P78" s="135"/>
      <c r="Q78" s="71"/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 t="s">
        <v>1004</v>
      </c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 t="s">
        <v>1004</v>
      </c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704</v>
      </c>
      <c r="L83" s="71">
        <v>706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704</v>
      </c>
      <c r="AQ83" s="177">
        <f>IF(BS_CONTROLE[[#This Row],[KM - Fim]]=0, "-", BS_CONTROLE[[#This Row],[KM - Fim]])</f>
        <v>706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1411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1411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1412</v>
      </c>
      <c r="X84" s="152" t="s">
        <v>1004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A6046062</v>
      </c>
      <c r="B85" s="133">
        <v>46062</v>
      </c>
      <c r="C85" s="7">
        <f>IF(BS_CONTROLE[[#This Row],[DATA]]="","",WEEKNUM(BS_CONTROLE[[#This Row],[DATA]]))</f>
        <v>7</v>
      </c>
      <c r="D85" s="45" t="s">
        <v>106</v>
      </c>
      <c r="E85" s="185">
        <v>93</v>
      </c>
      <c r="F85" s="134" t="s">
        <v>32</v>
      </c>
      <c r="G85" s="8" t="str">
        <f>IF(D85="","*",VLOOKUP(F85,BS_ATIVIDADE[#All],3,FALSE))</f>
        <v>DETECÇÃO</v>
      </c>
      <c r="H85" s="135" t="s">
        <v>474</v>
      </c>
      <c r="I85" s="135" t="s">
        <v>416</v>
      </c>
      <c r="J85" s="151">
        <v>74</v>
      </c>
      <c r="K85" s="151">
        <v>291</v>
      </c>
      <c r="L85" s="71">
        <v>109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85" s="135">
        <v>0.375</v>
      </c>
      <c r="P85" s="135">
        <v>4.1666666666666664E-2</v>
      </c>
      <c r="Q85" s="71">
        <v>180</v>
      </c>
      <c r="R85" s="9" t="str">
        <f>IFERROR(_xlfn.XLOOKUP(F85, BS_ATIVIDADE[ATIVIDADE],BS_ATIVIDADE[UNIDADE] ), "*")</f>
        <v>KM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199" t="str">
        <f>IFERROR(_xlfn.XLOOKUP(J85, BASE_MAPA!$B$2:$B$420, BASE_MAPA!$G$2:$G$420), "ERRO")</f>
        <v>MARCO INICIAL - ALTO ARAGUAIA</v>
      </c>
      <c r="V85" s="143" t="s">
        <v>1294</v>
      </c>
      <c r="W85" s="135" t="s">
        <v>1363</v>
      </c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DETECÇÃO - RONDA 7 DIAS</v>
      </c>
      <c r="AJ85" s="8" t="str">
        <f>IF(D85="","*",VLOOKUP(AI85,BS_ATIVIDADE[#Data],3,FALSE))</f>
        <v>DETECÇÃO</v>
      </c>
      <c r="AK85" s="175" t="str">
        <f>IF(BS_CONTROLE[[#This Row],[Local - Partida]]=0, "-", BS_CONTROLE[[#This Row],[Local - Partida]])</f>
        <v>TCS2</v>
      </c>
      <c r="AL85" s="175" t="str">
        <f>IF(BS_CONTROLE[[#This Row],[Local - Encerramento]]=0, "-", BS_CONTROLE[[#This Row],[Local - Encerramento]])</f>
        <v>TIN</v>
      </c>
      <c r="AM85" s="175" t="str">
        <f>IF(BS_CONTROLE[[#This Row],[Entre - Estações]]=0, "-", BS_CONTROLE[[#This Row],[Entre - Estações]])</f>
        <v>TCS-TRC</v>
      </c>
      <c r="AN85" s="175" t="str">
        <f>IF(BS_CONTROLE[[#This Row],[SB]]=0, "-", BS_CONTROLE[[#This Row],[SB]])</f>
        <v>291TRC1</v>
      </c>
      <c r="AO85" s="176">
        <f>IF(BS_CONTROLE[[#This Row],[SUB]]=0, "-", BS_CONTROLE[[#This Row],[SUB]])</f>
        <v>74</v>
      </c>
      <c r="AP85" s="177">
        <f>IF(BS_CONTROLE[[#This Row],[KM - Inicio]]=0, "-", BS_CONTROLE[[#This Row],[KM - Inicio]])</f>
        <v>291</v>
      </c>
      <c r="AQ85" s="177">
        <f>IF(BS_CONTROLE[[#This Row],[KM - Fim]]=0, "-", BS_CONTROLE[[#This Row],[KM - Fim]])</f>
        <v>109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KM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200" t="str">
        <f>IFERROR(_xlfn.XLOOKUP(AO85, BASE_MAPA!$B$2:$B$420, BASE_MAPA!$G$2:$G$420), "ERRO")</f>
        <v>MARCO INICIAL - ALTO ARAGUAIA</v>
      </c>
      <c r="BF85" s="178" t="str">
        <f>IF(BS_CONTROLE[[#This Row],[Responsavel pelo boletim]]=0, "-", BS_CONTROLE[[#This Row],[Responsavel pelo boletim]])</f>
        <v>Herbert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 BK72 BK65 BK67:BK68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6 BK69:BK71 BK73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Contrato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0.125</v>
      </c>
      <c r="R73" s="96" t="str">
        <f>IF(FN_MC!Q66="","*",CONCATENATE(FN_MC!Q66," ",FN_MC!R66))</f>
        <v>2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Oportunidade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Oportunidade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Oportunidade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FERRONORTE</v>
      </c>
      <c r="E90" s="96" t="str">
        <f>IF(FN_MC!T78="","*",FN_MC!T78)</f>
        <v>TMI-TCS</v>
      </c>
      <c r="F90" s="96" t="str">
        <f>IF(FN_MC!B78="","*",FN_MC!B78)</f>
        <v>*</v>
      </c>
      <c r="G90" s="96" t="str">
        <f>IF(FN_MC!D78="","*",FN_MC!D78)</f>
        <v>MARCOS (TF-520)</v>
      </c>
      <c r="H90" s="96" t="str">
        <f>IF(FN_MC!F78="","*",FN_MC!F78)</f>
        <v>PDM - SOLDA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TJA-TCS</v>
      </c>
      <c r="L90" s="196" t="str">
        <f>IF(FN_MC!N78="","*",FN_MC!N78)</f>
        <v>277TCS</v>
      </c>
      <c r="M90" s="97">
        <f>IF(FN_MC!J78="","*",FN_MC!J78)</f>
        <v>74</v>
      </c>
      <c r="N90" s="183">
        <f>IF(FN_MC!K78="","*",FN_MC!K78)</f>
        <v>280.5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Oportunidade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Oportunidade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Oportunidade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704</v>
      </c>
      <c r="O95" s="183">
        <f>IF(FN_MC!L83="","*",FN_MC!L83)</f>
        <v>706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Oportunidade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Oportunidade</v>
      </c>
      <c r="C97" s="95" t="str">
        <f>IF(FN_MC!Z85="","*",FN_MC!Z85)</f>
        <v>*</v>
      </c>
      <c r="D97" s="96" t="str">
        <f>IF(FN_MC!S85="","*",FN_MC!S85)</f>
        <v>FERRONORTE</v>
      </c>
      <c r="E97" s="96" t="str">
        <f>IF(FN_MC!T85="","*",FN_MC!T85)</f>
        <v>TCS-TGR</v>
      </c>
      <c r="F97" s="96">
        <f>IF(FN_MC!B85="","*",FN_MC!B85)</f>
        <v>46062</v>
      </c>
      <c r="G97" s="96" t="str">
        <f>IF(FN_MC!D85="","*",FN_MC!D85)</f>
        <v>A60</v>
      </c>
      <c r="H97" s="96" t="str">
        <f>IF(FN_MC!F85="","*",FN_MC!F85)</f>
        <v>DETECÇÃO - RONDA 7 DIAS</v>
      </c>
      <c r="I97" s="96" t="str">
        <f>IF(FN_MC!H85="","*",FN_MC!H85)</f>
        <v>TCS2</v>
      </c>
      <c r="J97" s="96" t="str">
        <f>IF(FN_MC!I85="","*",FN_MC!I85)</f>
        <v>TIN</v>
      </c>
      <c r="K97" s="96" t="str">
        <f>IF(FN_MC!M85="","*",FN_MC!M85)</f>
        <v>TCS-TRC</v>
      </c>
      <c r="L97" s="196" t="str">
        <f>IF(FN_MC!N85="","*",FN_MC!N85)</f>
        <v>291TRC1</v>
      </c>
      <c r="M97" s="97">
        <f>IF(FN_MC!J85="","*",FN_MC!J85)</f>
        <v>74</v>
      </c>
      <c r="N97" s="183">
        <f>IF(FN_MC!K85="","*",FN_MC!K85)</f>
        <v>291</v>
      </c>
      <c r="O97" s="183">
        <f>IF(FN_MC!L85="","*",FN_MC!L85)</f>
        <v>109</v>
      </c>
      <c r="P97" s="107">
        <f>IF(FN_MC!O85="","*",FN_MC!O85)</f>
        <v>0.375</v>
      </c>
      <c r="Q97" s="107">
        <f>IF(FN_MC!P85="","*",FN_MC!P85)</f>
        <v>4.1666666666666664E-2</v>
      </c>
      <c r="R97" s="96" t="str">
        <f>IF(FN_MC!Q85="","*",CONCATENATE(FN_MC!Q85," ",FN_MC!R85))</f>
        <v>180 KM</v>
      </c>
      <c r="S97" s="96" t="str">
        <f>IF(FN_MC!V85="","*",FN_MC!V85)</f>
        <v>Herbert</v>
      </c>
      <c r="T97" s="96" t="str">
        <f>IF(FN_MC!W85="","*",FN_MC!W85)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MARCOS (TF-520)</v>
      </c>
      <c r="E88" s="101" t="str">
        <f>IF(FN_MC!H78="","*",FN_MC!H78)</f>
        <v>*</v>
      </c>
      <c r="F88" s="114" t="str">
        <f>IF(FN_MC!M78="","*",FN_MC!M78)</f>
        <v>TJA-TCS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>
        <f>IF(FN_MC!B85="","*",FN_MC!B85)</f>
        <v>46062</v>
      </c>
      <c r="D95" s="101" t="str">
        <f>IF(FN_MC!D85="","*",FN_MC!D85)</f>
        <v>A60</v>
      </c>
      <c r="E95" s="101" t="str">
        <f>IF(FN_MC!H85="","*",FN_MC!H85)</f>
        <v>TCS2</v>
      </c>
      <c r="F95" s="114" t="str">
        <f>IF(FN_MC!M85="","*",FN_MC!M85)</f>
        <v>TCS-TRC</v>
      </c>
      <c r="G95" s="101" t="str">
        <f>IF(FN_MC!I85="","*",FN_MC!I85)</f>
        <v>TIN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Contrato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0.125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Pronto as 9h - preivisão de faixa após D77 - Sem temperatura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2</v>
      </c>
      <c r="P77" s="78"/>
      <c r="Q77" s="120" t="str">
        <f>IF($A$2=1,IF(FN_MC!BJ68="","*",FN_MC!BJ68),IF(FN_MC!BK68="","*",FN_MC!BK68))</f>
        <v>MC1 as 08:44h - Licença as 08:46h - em inspeção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286.32</v>
      </c>
      <c r="N80" s="118" t="str">
        <f>IF(FN_MC!AM70="","*",FN_MC!AM70)</f>
        <v>TVI-TJA</v>
      </c>
      <c r="O80" s="136">
        <f>FN_MC!BH70</f>
        <v>2</v>
      </c>
      <c r="P80" s="78"/>
      <c r="Q80" s="120" t="str">
        <f>IF($A$2=1,IF(FN_MC!BJ70="","*",FN_MC!BJ70),IF(FN_MC!BK70="","*",FN_MC!BK70))</f>
        <v>Alteração de programação realizou descarga de barras curtas após retornou pro TCS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 xml:space="preserve">MC1 10:58, autorizado 11:01 em inspeção 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Oportunidade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Oportunidade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Oportunidade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FERRONORTE</v>
      </c>
      <c r="D92" s="87" t="str">
        <f>IF(FN_MC!T78="","*",FN_MC!T78)</f>
        <v>TMI-TCS</v>
      </c>
      <c r="E92" s="87" t="str">
        <f>IF(FN_MC!D78="","*",FN_MC!D78)</f>
        <v>MARCOS (TF-520)</v>
      </c>
      <c r="F92" s="87" t="str">
        <f>IF(FN_MC!H78="","*",FN_MC!H78)</f>
        <v>*</v>
      </c>
      <c r="G92" s="87" t="str">
        <f>IF(FN_MC!M78="","*",FN_MC!M78)</f>
        <v>TJA-TCS</v>
      </c>
      <c r="H92" s="125">
        <f>IF(FN_MC!K78="","*",FN_MC!K78)</f>
        <v>280.5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TJA-TCS</v>
      </c>
      <c r="M92" s="118">
        <f>IF(FN_MC!AP78="","*",FN_MC!AP78)</f>
        <v>280.5</v>
      </c>
      <c r="N92" s="118" t="str">
        <f>IF(FN_MC!AM78="","*",FN_MC!AM78)</f>
        <v>TJA-TCS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Oportunidade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Oportunidade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Oportunidade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704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704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Oportunidade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>
        <f>IF(FN_MC!B85="","*",FN_MC!B85)</f>
        <v>46062</v>
      </c>
      <c r="B99" s="86" t="str">
        <f>IF(FN_MC!X85="","*",FN_MC!X85)</f>
        <v>Oportunidade</v>
      </c>
      <c r="C99" s="87" t="str">
        <f>IF(FN_MC!S85="","*",FN_MC!S85)</f>
        <v>FERRONORTE</v>
      </c>
      <c r="D99" s="87" t="str">
        <f>IF(FN_MC!T85="","*",FN_MC!T85)</f>
        <v>TCS-TGR</v>
      </c>
      <c r="E99" s="87" t="str">
        <f>IF(FN_MC!D85="","*",FN_MC!D85)</f>
        <v>A60</v>
      </c>
      <c r="F99" s="87" t="str">
        <f>IF(FN_MC!H85="","*",FN_MC!H85)</f>
        <v>TCS2</v>
      </c>
      <c r="G99" s="87" t="str">
        <f>IF(FN_MC!M85="","*",FN_MC!M85)</f>
        <v>TCS-TRC</v>
      </c>
      <c r="H99" s="125">
        <f>IF(FN_MC!K85="","*",FN_MC!K85)</f>
        <v>291</v>
      </c>
      <c r="I99" s="110">
        <f>IF(FN_MC!O85="","*",FN_MC!O85)</f>
        <v>0.375</v>
      </c>
      <c r="J99" s="110">
        <f>IF(FN_MC!P85="","*",FN_MC!P85)</f>
        <v>4.1666666666666664E-2</v>
      </c>
      <c r="K99" s="118" t="str">
        <f>IF(FN_MC!AK85="","*",FN_MC!AK85)</f>
        <v>TCS2</v>
      </c>
      <c r="L99" s="118" t="str">
        <f>IF(FN_MC!AM85="","*",FN_MC!AM85)</f>
        <v>TCS-TRC</v>
      </c>
      <c r="M99" s="118">
        <f>IF(FN_MC!AP85="","*",FN_MC!AP85)</f>
        <v>291</v>
      </c>
      <c r="N99" s="118" t="str">
        <f>IF(FN_MC!AM85="","*",FN_MC!AM85)</f>
        <v>TCS-TRC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2026-02-06T17:09:16Z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