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68" documentId="8_{B6337239-1A00-434D-AAD0-422EA1FEB5AE}" xr6:coauthVersionLast="47" xr6:coauthVersionMax="47" xr10:uidLastSave="{3FC6828B-57E5-4EF3-8FCE-3DDB0A4980F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46" i="1" l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N434" i="1" a="1"/>
  <c r="N434" i="1" s="1"/>
  <c r="L431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3" i="1" a="1"/>
  <c r="M433" i="1"/>
  <c r="K430" i="12" s="1"/>
  <c r="N433" i="1" a="1"/>
  <c r="N433" i="1"/>
  <c r="L430" i="12" s="1"/>
  <c r="M436" i="1" a="1"/>
  <c r="M436" i="1"/>
  <c r="K433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<sst xmlns="http://schemas.openxmlformats.org/spreadsheetml/2006/main" count="7735" uniqueCount="1918">
  <si>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</si>
  <si>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</si>
  <si>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</si>
  <si>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</si>
  <si>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</si>
  <si>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</si>
  <si>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</si>
  <si>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</si>
  <si>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</si>
  <si>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</si>
  <si>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</si>
  <si>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</si>
  <si>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</si>
  <si>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</si>
  <si>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</si>
  <si>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</si>
  <si>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</si>
  <si>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</si>
  <si>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</si>
  <si>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</si>
  <si>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</si>
  <si>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</si>
  <si>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</si>
  <si>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</si>
  <si>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</si>
  <si>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</si>
  <si>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</si>
  <si>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</si>
  <si>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</si>
  <si>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</si>
  <si>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</si>
  <si>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</si>
  <si>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</si>
  <si>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</si>
  <si>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</si>
  <si>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</si>
  <si>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</si>
  <si>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</si>
  <si>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</si>
  <si>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</si>
  <si>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</si>
  <si>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</si>
  <si>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</si>
  <si>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</si>
  <si>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</si>
  <si>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</si>
  <si>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</si>
  <si>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</si>
  <si>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</si>
  <si>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</si>
  <si>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</si>
  <si>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</si>
  <si>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</si>
  <si>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</si>
  <si>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</si>
  <si>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</si>
  <si>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</si>
  <si>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</si>
  <si>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</si>
  <si>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</si>
  <si>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</si>
  <si>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</si>
  <si>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</si>
  <si>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</si>
  <si>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</si>
  <si>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</si>
  <si>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</si>
  <si>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</si>
  <si>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</si>
  <si>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</si>
  <si>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</si>
  <si>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</si>
  <si>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</si>
  <si>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</si>
  <si>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</si>
  <si>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</si>
  <si>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</si>
  <si>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</si>
  <si>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</si>
  <si>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</si>
  <si>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</si>
  <si>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</si>
  <si>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</si>
  <si>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</si>
  <si>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</si>
  <si>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</si>
  <si>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</si>
  <si>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</si>
  <si>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</si>
  <si>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</si>
  <si>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</si>
  <si>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</si>
  <si>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</si>
  <si>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</si>
  <si>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</si>
  <si>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</si>
  <si>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</si>
  <si>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</si>
  <si>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</si>
  <si>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</si>
  <si>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</si>
  <si>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</si>
  <si>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</si>
  <si>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</si>
  <si>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</si>
  <si>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</si>
  <si>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</si>
  <si>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</si>
  <si>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</si>
  <si>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</si>
  <si>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</si>
  <si>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</si>
  <si>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</si>
  <si>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</si>
  <si>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</si>
  <si>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</si>
  <si>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</si>
  <si>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</si>
  <si>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</si>
  <si>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</si>
  <si>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</si>
  <si>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</si>
  <si>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</si>
  <si>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</si>
  <si>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</si>
  <si>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</si>
  <si>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</si>
  <si>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</si>
  <si>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</si>
  <si>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</si>
  <si>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</si>
  <si>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</si>
  <si>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</si>
  <si>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</si>
  <si>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</si>
  <si>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</si>
  <si>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</si>
  <si>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</si>
  <si>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</si>
  <si>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</si>
  <si>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</si>
  <si>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</si>
  <si>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</si>
  <si>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</si>
  <si>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</si>
  <si>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</si>
  <si>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</si>
  <si>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</si>
  <si>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</si>
  <si>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</si>
  <si>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</si>
  <si>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</si>
  <si>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</si>
  <si>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</si>
  <si>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</si>
  <si>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</si>
  <si>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</si>
  <si>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</si>
  <si>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</si>
  <si>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</si>
  <si>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</si>
  <si>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</si>
  <si>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</si>
  <si>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</si>
  <si>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</si>
  <si>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</si>
  <si>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</si>
  <si>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</si>
  <si>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</si>
  <si>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</si>
  <si>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</si>
  <si>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</si>
  <si>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</si>
  <si>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</si>
  <si>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</si>
  <si>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</si>
  <si>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</si>
  <si>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</si>
  <si>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</si>
  <si>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</si>
  <si>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</si>
  <si>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</si>
  <si>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</si>
  <si>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</si>
  <si>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</si>
  <si>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</si>
  <si>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</si>
  <si>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</si>
  <si>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</si>
  <si>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</si>
  <si>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</si>
  <si>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</si>
  <si>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</si>
  <si>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</si>
  <si>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</si>
  <si>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</si>
  <si>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</si>
  <si>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</si>
  <si>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</si>
  <si>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</si>
  <si>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</si>
  <si>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</si>
  <si>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</si>
  <si>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</si>
  <si>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</si>
  <si>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</si>
  <si>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</si>
  <si>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</si>
  <si>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</si>
  <si>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</si>
  <si>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</si>
  <si>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</si>
  <si>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</si>
  <si>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</si>
  <si>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</si>
  <si>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</si>
  <si>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</si>
  <si>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</si>
  <si>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</si>
  <si>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</si>
  <si>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</si>
  <si>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</si>
  <si>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</si>
  <si>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</si>
  <si>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</si>
  <si>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</si>
  <si>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</si>
  <si>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</si>
  <si>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</si>
  <si>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</si>
  <si>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</si>
  <si>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</si>
  <si>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</si>
  <si>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</si>
  <si>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</si>
  <si>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</si>
  <si>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</si>
  <si>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</si>
  <si>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</si>
  <si>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</si>
  <si>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</si>
  <si>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</si>
  <si>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</si>
  <si>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</si>
  <si>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</si>
  <si>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</si>
  <si>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</si>
  <si>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</si>
  <si>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</si>
  <si>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</si>
  <si>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</si>
  <si>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</si>
  <si>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</si>
  <si>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</si>
  <si>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</si>
  <si>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</si>
  <si>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</si>
  <si>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</si>
  <si>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</si>
  <si>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</si>
  <si>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</si>
  <si>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</si>
  <si>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</si>
  <si>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</si>
  <si>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</si>
  <si>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</si>
  <si>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</si>
  <si>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</si>
  <si>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</si>
  <si>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</si>
  <si>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</si>
  <si>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</si>
  <si>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</si>
  <si>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</si>
  <si>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</si>
  <si>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</si>
  <si>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</si>
  <si>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</si>
  <si>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</si>
  <si>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</si>
  <si>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</si>
  <si>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</si>
  <si>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</si>
  <si>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</si>
  <si>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</si>
  <si>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</si>
  <si>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</si>
  <si>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</si>
  <si>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</si>
  <si>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</si>
  <si>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</si>
  <si>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</si>
  <si>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</si>
  <si>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</si>
  <si>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</si>
  <si>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</si>
  <si>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</si>
  <si>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</si>
  <si>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</si>
  <si>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</si>
  <si>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</si>
  <si>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</si>
  <si>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</si>
  <si>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</si>
  <si>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</si>
  <si>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</si>
  <si>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</si>
  <si>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</si>
  <si>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</si>
  <si>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</si>
  <si>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</si>
  <si>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</si>
  <si>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</si>
  <si>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</si>
  <si>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</si>
  <si>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</si>
  <si>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</si>
  <si>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</si>
  <si>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</si>
  <si>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</si>
  <si>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</si>
  <si>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</si>
  <si>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</si>
  <si>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</si>
  <si>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</si>
  <si>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</si>
  <si>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</si>
  <si>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</si>
  <si>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</si>
  <si>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</si>
  <si>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</si>
  <si>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</si>
  <si>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</si>
  <si>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</si>
  <si>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</si>
  <si>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</si>
  <si>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</si>
  <si>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</si>
  <si>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</si>
  <si>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</si>
  <si>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</si>
  <si>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</si>
  <si>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</si>
  <si>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</si>
  <si>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</si>
  <si>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</si>
  <si>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</si>
  <si>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</si>
  <si>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</si>
  <si>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</si>
  <si>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</si>
  <si>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</si>
  <si>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</si>
  <si>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</si>
  <si>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</si>
  <si>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</si>
  <si>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</si>
  <si>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</si>
  <si>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</si>
  <si>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</si>
  <si>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</si>
  <si>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</si>
  <si>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</si>
  <si>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</si>
  <si>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</si>
  <si>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</si>
  <si>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</si>
  <si>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</si>
  <si>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</si>
  <si>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</si>
  <si>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</si>
  <si>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</si>
  <si>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</si>
  <si>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</si>
  <si>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</si>
  <si>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</si>
  <si>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</si>
  <si>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</si>
  <si>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</si>
  <si>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</si>
  <si>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</si>
  <si>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</si>
  <si>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</si>
  <si>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</si>
  <si>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</si>
  <si>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</si>
  <si>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</si>
  <si>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</si>
  <si>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</si>
  <si>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</si>
  <si>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</si>
  <si>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</si>
  <si>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</si>
  <si>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</si>
  <si>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</si>
  <si>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</si>
  <si>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</si>
  <si>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</si>
  <si>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</si>
  <si>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</si>
  <si>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</si>
  <si>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</si>
  <si>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</si>
  <si>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</si>
  <si>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</si>
  <si>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</si>
  <si>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</si>
  <si>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</si>
  <si>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</si>
  <si>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</si>
  <si>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</si>
  <si>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</si>
  <si>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</si>
  <si>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</si>
  <si>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</si>
  <si>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</si>
  <si>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</si>
  <si>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</si>
  <si>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</si>
  <si>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</si>
  <si>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</si>
  <si>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</si>
  <si>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</si>
  <si>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</si>
  <si>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</si>
  <si>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</si>
  <si>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</si>
  <si>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</si>
  <si>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</si>
  <si>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</si>
  <si>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</si>
  <si>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</si>
  <si>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</si>
  <si>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</si>
  <si>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</si>
  <si>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</si>
  <si>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</si>
  <si>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</si>
  <si>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</si>
  <si>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</si>
  <si>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</si>
  <si>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</si>
  <si>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</si>
  <si>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</si>
  <si>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</si>
  <si>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</si>
  <si>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</si>
  <si>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</si>
  <si>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</si>
  <si>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</si>
  <si>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</si>
  <si>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</si>
  <si>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</si>
  <si>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</si>
  <si>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</si>
  <si>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</si>
  <si>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</si>
  <si>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</si>
  <si>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</si>
  <si>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</si>
  <si>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</si>
  <si>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</si>
  <si>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</si>
  <si>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</si>
  <si>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</si>
  <si>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</si>
  <si>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</si>
  <si>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</si>
  <si>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</si>
  <si>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</si>
  <si>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</si>
  <si>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</si>
  <si>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</si>
  <si>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</si>
  <si>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</si>
  <si>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</si>
  <si>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</si>
  <si>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</si>
  <si>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</si>
  <si>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</si>
  <si>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</si>
  <si>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</si>
  <si>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</si>
  <si>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</si>
  <si>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</si>
  <si>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</si>
  <si>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</si>
  <si>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</si>
  <si>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</si>
  <si>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</si>
  <si>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</si>
  <si>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</si>
  <si>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</si>
  <si>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</si>
  <si>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</si>
  <si>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</si>
  <si>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</si>
  <si>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</si>
  <si>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</si>
  <si>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</si>
  <si>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</si>
  <si>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</si>
  <si>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</si>
  <si>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</si>
  <si>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</si>
  <si>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</si>
  <si>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</si>
  <si>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</si>
  <si>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</si>
  <si>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</si>
  <si>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</si>
  <si>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</si>
  <si>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</si>
  <si>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</si>
  <si>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</si>
  <si>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</si>
  <si>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</si>
  <si>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</si>
  <si>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</si>
  <si>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</si>
  <si>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</si>
  <si>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</si>
  <si>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</si>
  <si>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</si>
  <si>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</si>
  <si>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</si>
  <si>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</si>
  <si>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</si>
  <si>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</si>
  <si>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</si>
  <si>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</si>
  <si>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</si>
  <si>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</si>
  <si>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</si>
  <si>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</si>
  <si>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</si>
  <si>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</si>
  <si>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</si>
  <si>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</si>
  <si>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</si>
  <si>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</si>
  <si>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</si>
  <si>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</si>
  <si>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</si>
  <si>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</si>
  <si>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</si>
  <si>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</si>
  <si>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</si>
  <si>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</si>
  <si>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</si>
  <si>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</si>
  <si>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</si>
  <si>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</si>
  <si>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</si>
  <si>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</si>
  <si>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</si>
  <si>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</si>
  <si>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</si>
  <si>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</si>
  <si>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</si>
  <si>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</si>
  <si>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</si>
  <si>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</si>
  <si>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</si>
  <si>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</si>
  <si>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</si>
  <si>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</si>
  <si>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</si>
  <si>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</si>
  <si>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</si>
  <si>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</si>
  <si>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</si>
  <si>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</si>
  <si>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</si>
  <si>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</si>
  <si>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</si>
  <si>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</si>
  <si>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</si>
  <si>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</si>
  <si>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</si>
  <si>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</si>
  <si>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</si>
  <si>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</si>
  <si>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</si>
  <si>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</si>
  <si>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</si>
  <si>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</si>
  <si>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</si>
  <si>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</si>
  <si>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</si>
  <si>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</si>
  <si>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</si>
  <si>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</si>
  <si>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</si>
  <si>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</si>
  <si>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</si>
  <si>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</si>
  <si>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</si>
  <si>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</si>
  <si>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</si>
  <si>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</si>
  <si>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</si>
  <si>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</si>
  <si>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</si>
  <si>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</si>
  <si>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</si>
  <si>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</si>
  <si>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</si>
  <si>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</si>
  <si>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</si>
  <si>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</si>
  <si>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</si>
  <si>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</si>
  <si>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</si>
  <si>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</si>
  <si>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</si>
  <si>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</si>
  <si>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</si>
  <si>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</si>
  <si>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</si>
  <si>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</si>
  <si>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</si>
  <si>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</si>
  <si>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</si>
  <si>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</si>
  <si>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</si>
  <si>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</si>
  <si>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</si>
  <si>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</si>
  <si>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</si>
  <si>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</si>
  <si>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</si>
  <si>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</si>
  <si>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</si>
  <si>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</si>
  <si>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</si>
  <si>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</si>
  <si>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</si>
  <si>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</si>
  <si>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</si>
  <si>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</si>
  <si>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</si>
  <si>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</si>
  <si>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</si>
  <si>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</si>
  <si>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</si>
  <si>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</si>
  <si>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</si>
  <si>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</si>
  <si>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</si>
  <si>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</si>
  <si>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</si>
  <si>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</si>
  <si>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</si>
  <si>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</si>
  <si>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</si>
  <si>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</si>
  <si>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</si>
  <si>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</si>
  <si>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</si>
  <si>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</si>
  <si>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</si>
  <si>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</si>
  <si>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</si>
  <si>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</si>
  <si>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</si>
  <si>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</si>
  <si>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</si>
  <si>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</si>
  <si>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</si>
  <si>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</si>
  <si>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</si>
  <si>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</si>
  <si>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</si>
  <si>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</si>
  <si>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</si>
  <si>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</si>
  <si>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</si>
  <si>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</si>
  <si>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</si>
  <si>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</si>
  <si>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</si>
  <si>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</si>
  <si>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</si>
  <si>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</si>
  <si>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</si>
  <si>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</si>
  <si>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</si>
  <si>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</si>
  <si>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</si>
  <si>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</si>
  <si>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</si>
  <si>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</si>
  <si>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</si>
  <si>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</si>
  <si>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</si>
  <si>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</si>
  <si>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</si>
  <si>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</si>
  <si>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</si>
  <si>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</si>
  <si>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</si>
  <si>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</si>
  <si>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</si>
  <si>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</si>
  <si>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</si>
  <si>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</si>
  <si>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</si>
  <si>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</si>
  <si>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</si>
  <si>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</si>
  <si>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</si>
  <si>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</si>
  <si>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</si>
  <si>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</si>
  <si>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</si>
  <si>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</si>
  <si>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</si>
  <si>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</si>
  <si>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</si>
  <si>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</si>
  <si>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</si>
  <si>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</si>
  <si>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</si>
  <si>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</si>
  <si>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</si>
  <si>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</si>
  <si>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</si>
  <si>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</si>
  <si>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</si>
  <si>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</si>
  <si>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</si>
  <si>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</si>
  <si>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</si>
  <si>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</si>
  <si>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</si>
  <si>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</si>
  <si>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</si>
  <si>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</si>
  <si>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</si>
  <si>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</si>
  <si>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</si>
  <si>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</si>
  <si>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</si>
  <si>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</si>
  <si>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</si>
  <si>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</si>
  <si>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</si>
  <si>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</si>
  <si>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</si>
  <si>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</si>
  <si>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</si>
  <si>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</si>
  <si>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</si>
  <si>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</si>
  <si>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</si>
  <si>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</si>
  <si>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</si>
  <si>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</si>
  <si>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</si>
  <si>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</si>
  <si>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</si>
  <si>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</si>
  <si>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</si>
  <si>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</si>
  <si>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</si>
  <si>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</si>
  <si>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</si>
  <si>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</si>
  <si>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</si>
  <si>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</si>
  <si>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</si>
  <si>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</si>
  <si>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</si>
  <si>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</si>
  <si>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</si>
  <si>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</si>
  <si>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</si>
  <si>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</si>
  <si>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</si>
  <si>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</si>
  <si>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</si>
  <si>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</si>
  <si>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</si>
  <si>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</si>
  <si>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</si>
  <si>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</si>
  <si>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</si>
  <si>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</si>
  <si>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</si>
  <si>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</si>
  <si>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</si>
  <si>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</si>
  <si>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</si>
  <si>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</si>
  <si>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</si>
  <si>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</si>
  <si>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</si>
  <si>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</si>
  <si>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</si>
  <si>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</si>
  <si>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</si>
  <si>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</si>
  <si>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</si>
  <si>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</si>
  <si>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</si>
  <si>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</si>
  <si>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</si>
  <si>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</si>
  <si>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</si>
  <si>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</si>
  <si>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</si>
  <si>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</si>
  <si>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</si>
  <si>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</si>
  <si>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</si>
  <si>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</si>
  <si>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</si>
  <si>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</si>
  <si>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</si>
  <si>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</si>
  <si>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</si>
  <si>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</si>
  <si>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</si>
  <si>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</si>
  <si>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</si>
  <si>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</si>
  <si>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</si>
  <si>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</si>
  <si>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</si>
  <si>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</si>
  <si>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</si>
  <si>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</si>
  <si>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</si>
  <si>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</si>
  <si>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</si>
  <si>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</si>
  <si>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</si>
  <si>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</si>
  <si>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</si>
  <si>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</si>
  <si>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</si>
  <si>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</si>
  <si>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</si>
  <si>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</si>
  <si>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</si>
  <si>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</si>
  <si>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</si>
  <si>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</si>
  <si>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</si>
  <si>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</si>
  <si>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</si>
  <si>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</si>
  <si>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</si>
  <si>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</si>
  <si>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</si>
  <si>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</si>
  <si>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</si>
  <si>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</si>
  <si>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</si>
  <si>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</si>
  <si>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</si>
  <si>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</si>
  <si>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</si>
  <si>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</si>
  <si>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</si>
  <si>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</si>
  <si>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</si>
  <si>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</si>
  <si>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</si>
  <si>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</si>
  <si>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</si>
  <si>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</si>
  <si>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</si>
  <si>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</si>
  <si>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</si>
  <si>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</si>
  <si>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</si>
  <si>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</si>
  <si>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</si>
  <si>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</si>
  <si>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</si>
  <si>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</si>
  <si>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</si>
  <si>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</si>
  <si>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</si>
  <si>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</si>
  <si>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</si>
  <si>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</si>
  <si>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</si>
  <si>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</si>
  <si>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</si>
  <si>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</si>
  <si>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</si>
  <si>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</si>
  <si>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</si>
  <si>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</si>
  <si>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</si>
  <si>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</si>
  <si>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</si>
  <si>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</si>
  <si>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</si>
  <si>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</si>
  <si>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</si>
  <si>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</si>
  <si>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</si>
  <si>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</si>
  <si>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</si>
  <si>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</si>
  <si>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</si>
  <si>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</si>
  <si>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</si>
  <si>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</si>
  <si>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</si>
  <si>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</si>
  <si>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</si>
  <si>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</si>
  <si>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</si>
  <si>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</si>
  <si>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</si>
  <si>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</si>
  <si>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</si>
  <si>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</si>
  <si>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</si>
  <si>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</si>
  <si>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</si>
  <si>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</si>
  <si>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</si>
  <si>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</si>
  <si>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</si>
  <si>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</si>
  <si>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</si>
  <si>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</si>
  <si>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</si>
  <si>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</si>
  <si>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</si>
  <si>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</si>
  <si>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</si>
  <si>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</si>
  <si>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</si>
  <si>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</si>
  <si>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</si>
  <si>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</si>
  <si>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</si>
  <si>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</si>
  <si>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</si>
  <si>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</si>
  <si>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</si>
  <si>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</si>
  <si>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</si>
  <si>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</si>
  <si>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</si>
  <si>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</si>
  <si>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</si>
  <si>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</si>
  <si>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</si>
  <si>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</si>
  <si>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</si>
  <si>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</si>
  <si>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</si>
  <si>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</si>
  <si>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</si>
  <si>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</si>
  <si>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</si>
  <si>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</si>
  <si>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</si>
  <si>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</si>
  <si>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</si>
  <si>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</si>
  <si>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</si>
  <si>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</si>
  <si>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</si>
  <si>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</si>
  <si>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</si>
  <si>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</si>
  <si>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</si>
  <si>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</si>
  <si>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</si>
  <si>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</si>
  <si>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</si>
  <si>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</si>
  <si>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</si>
  <si>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</si>
  <si>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</si>
  <si>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</si>
  <si>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</si>
  <si>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</si>
  <si>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</si>
  <si>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</si>
  <si>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</si>
  <si>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</si>
  <si>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</si>
  <si>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</si>
  <si>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</si>
  <si>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</si>
  <si>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</si>
  <si>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</si>
  <si>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</si>
  <si>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</si>
  <si>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</si>
  <si>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</si>
  <si>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</si>
  <si>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</si>
  <si>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</si>
  <si>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</si>
  <si>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</si>
  <si>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</si>
  <si>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</si>
  <si>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</si>
  <si>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</si>
  <si>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</si>
  <si>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</si>
  <si>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</si>
  <si>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</si>
  <si>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</si>
  <si>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</si>
  <si>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</si>
  <si>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</si>
  <si>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</si>
  <si>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</si>
  <si>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</si>
  <si>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</si>
  <si>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</si>
  <si>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</si>
  <si>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</si>
  <si>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</si>
  <si>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</si>
  <si>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</si>
  <si>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</si>
  <si>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</si>
  <si>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</si>
  <si>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</si>
  <si>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</si>
  <si>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</si>
  <si>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</si>
  <si>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</si>
  <si>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</si>
  <si>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</si>
  <si>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</si>
  <si>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</si>
  <si>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</si>
  <si>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</si>
  <si>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</si>
  <si>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</si>
  <si>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</si>
  <si>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</si>
  <si>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</si>
  <si>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</si>
  <si>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</si>
  <si>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</si>
  <si>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</si>
  <si>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</si>
  <si>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</si>
  <si>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</si>
  <si>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</si>
  <si>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</si>
  <si>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</si>
  <si>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</si>
  <si>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</si>
  <si>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</si>
  <si>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</si>
  <si>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</si>
  <si>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</si>
  <si>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</si>
  <si>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</si>
  <si>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</si>
  <si>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</si>
  <si>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</si>
  <si>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</si>
  <si>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</si>
  <si>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</si>
  <si>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</si>
  <si>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</si>
  <si>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</si>
  <si>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</si>
  <si>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</si>
  <si>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</si>
  <si>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</si>
  <si>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</si>
  <si>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</si>
  <si>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</si>
  <si>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</si>
  <si>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</si>
  <si>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</si>
  <si>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</si>
  <si>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</si>
  <si>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</si>
  <si>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</si>
  <si>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</si>
  <si>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</si>
  <si>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</si>
  <si>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</si>
  <si>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</si>
  <si>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</si>
  <si>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</si>
  <si>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</si>
  <si>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</si>
  <si>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</si>
  <si>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</si>
  <si>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</si>
  <si>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</si>
  <si>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</si>
  <si>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</si>
  <si>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</si>
  <si>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</si>
  <si>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</si>
  <si>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</si>
  <si>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</si>
  <si>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</si>
  <si>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</si>
  <si>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</si>
  <si>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</si>
  <si>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</si>
  <si>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</si>
  <si>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</si>
  <si>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</si>
  <si>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</si>
  <si>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</si>
  <si>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</si>
  <si>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</si>
  <si>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</si>
  <si>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</si>
  <si>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</si>
  <si>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</si>
  <si>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</si>
  <si>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</si>
  <si>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</si>
  <si>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</si>
  <si>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</si>
  <si>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</si>
  <si>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</si>
  <si>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</si>
  <si>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</si>
  <si>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</si>
  <si>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</si>
  <si>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</si>
  <si>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</si>
  <si>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</si>
  <si>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</si>
  <si>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</si>
  <si>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</si>
  <si>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</si>
  <si>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</si>
  <si>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</si>
  <si>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</si>
  <si>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</si>
  <si>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</si>
  <si>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</si>
  <si>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</si>
  <si>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</si>
  <si>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</si>
  <si>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</si>
  <si>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</si>
  <si>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</si>
  <si>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</si>
  <si>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</si>
  <si>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</si>
  <si>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</si>
  <si>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</si>
  <si>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</si>
  <si>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</si>
  <si>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</si>
  <si>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</si>
  <si>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</si>
  <si>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</si>
  <si>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</si>
  <si>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</si>
  <si>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</si>
  <si>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</si>
  <si>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</si>
  <si>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</si>
  <si>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</si>
  <si>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</si>
  <si>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</si>
  <si>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</si>
  <si>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</si>
  <si>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</si>
  <si>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</si>
  <si>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</si>
  <si>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</si>
  <si>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</si>
  <si>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</si>
  <si>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</si>
  <si>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</si>
  <si>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</si>
  <si>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</si>
  <si>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</si>
  <si>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</si>
  <si>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</si>
  <si>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</si>
  <si>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</si>
  <si>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</si>
  <si>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</si>
  <si>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</si>
  <si>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</si>
  <si>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</si>
  <si>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</si>
  <si>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</si>
  <si>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</si>
  <si>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</si>
  <si>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</si>
  <si>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</si>
  <si>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</si>
  <si>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</si>
  <si>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</si>
  <si>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</si>
  <si>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</si>
  <si>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</si>
  <si>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</si>
  <si>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</si>
  <si>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</si>
  <si>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</si>
  <si>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</si>
  <si>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</si>
  <si>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</si>
  <si>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</si>
  <si>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</si>
  <si>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</si>
  <si>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</si>
  <si>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</si>
  <si>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</si>
  <si>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</si>
  <si>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</si>
  <si>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</si>
  <si>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</si>
  <si>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</si>
  <si>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</si>
  <si>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</si>
  <si>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</si>
  <si>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</si>
  <si>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</si>
  <si>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</si>
  <si>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</si>
  <si>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</si>
  <si>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</si>
  <si>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</si>
  <si>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</si>
  <si>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</si>
  <si>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</si>
  <si>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</si>
  <si>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</si>
  <si>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</si>
  <si>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</si>
  <si>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</si>
  <si>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</si>
  <si>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</si>
  <si>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</si>
  <si>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</si>
  <si>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</si>
  <si>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</si>
  <si>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</si>
  <si>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</si>
  <si>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</si>
  <si>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</si>
  <si>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</si>
  <si>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</si>
  <si>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</si>
  <si>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</si>
  <si>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</si>
  <si>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</si>
  <si>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</si>
  <si>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</si>
  <si>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</si>
  <si>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</si>
  <si>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</si>
  <si>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</si>
  <si>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</si>
  <si>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</si>
  <si>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</si>
  <si>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</si>
  <si>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</si>
  <si>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</si>
  <si>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</si>
  <si>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</si>
  <si>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</si>
  <si>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</si>
  <si>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</si>
  <si>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</si>
  <si>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</si>
  <si>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</si>
  <si>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</si>
  <si>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</si>
  <si>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</si>
  <si>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</si>
  <si>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</si>
  <si>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</si>
  <si>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</si>
  <si>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</si>
  <si>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</si>
  <si>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</si>
  <si>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</si>
  <si>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</si>
  <si>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</si>
  <si>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</si>
  <si>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</si>
  <si>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</si>
  <si>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</si>
  <si>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</si>
  <si>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</si>
  <si>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</si>
  <si>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</si>
  <si>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</si>
  <si>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</si>
  <si>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</si>
  <si>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</si>
  <si>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</si>
  <si>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</si>
  <si>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</si>
  <si>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</si>
  <si>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</si>
  <si>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</si>
  <si>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</si>
  <si>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</si>
  <si>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</si>
  <si>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</si>
  <si>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</si>
  <si>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</si>
  <si>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</si>
  <si>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</si>
  <si>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</si>
  <si>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</si>
  <si>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</si>
  <si>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</si>
  <si>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</si>
  <si>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</si>
  <si>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</si>
  <si>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</si>
  <si>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</si>
  <si>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</si>
  <si>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</si>
  <si>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</si>
  <si>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</si>
  <si>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</si>
  <si>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</si>
  <si>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</si>
  <si>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</si>
  <si>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</si>
  <si>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</si>
  <si>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</si>
  <si>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</si>
  <si>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</si>
  <si>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</si>
  <si>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</si>
  <si>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</si>
  <si>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</si>
  <si>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</si>
  <si>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</si>
  <si>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</si>
  <si>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</si>
  <si>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</si>
  <si>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</si>
  <si>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</si>
  <si>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</si>
  <si>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</si>
  <si>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</si>
  <si>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</si>
  <si>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</si>
  <si>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</si>
  <si>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</si>
  <si>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</si>
  <si>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</si>
  <si>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</si>
  <si>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</si>
  <si>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</si>
  <si>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</si>
  <si>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</si>
  <si>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</si>
  <si>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</si>
  <si>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</si>
  <si>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</si>
  <si>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</si>
  <si>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</si>
  <si>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</si>
  <si>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</si>
  <si>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</si>
  <si>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</si>
  <si>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</si>
  <si>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</si>
  <si>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</si>
  <si>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</si>
  <si>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</si>
  <si>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</si>
  <si>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</si>
  <si>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</si>
  <si>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</si>
  <si>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</si>
  <si>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</si>
  <si>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</si>
  <si>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</si>
  <si>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</si>
  <si>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</si>
  <si>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</si>
  <si>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</si>
  <si>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</si>
  <si>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</si>
  <si>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</si>
  <si>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</si>
  <si>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</si>
  <si>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</si>
  <si>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</si>
  <si>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</si>
  <si>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</si>
  <si>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</si>
  <si>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</si>
  <si>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</si>
  <si>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</si>
  <si>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</si>
  <si>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</si>
  <si>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</si>
  <si>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</si>
  <si>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</si>
  <si>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</si>
  <si>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</si>
  <si>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</si>
  <si>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</si>
  <si>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</si>
  <si>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</si>
  <si>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</si>
  <si>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</si>
  <si>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</si>
  <si>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</si>
  <si>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</si>
  <si>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</si>
  <si>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</si>
  <si>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</si>
  <si>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</si>
  <si>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</si>
  <si>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</si>
  <si>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</si>
  <si>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</si>
  <si>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</si>
  <si>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</si>
  <si>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</si>
  <si>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</si>
  <si>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</si>
  <si>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</si>
  <si>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</si>
  <si>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</si>
  <si>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</si>
  <si>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</si>
  <si>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</si>
  <si>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</si>
  <si>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</si>
  <si>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</si>
  <si>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</si>
  <si>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</si>
  <si>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</si>
  <si>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</si>
  <si>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</si>
  <si>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</si>
  <si>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</si>
  <si>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</si>
  <si>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</si>
  <si>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</si>
  <si>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</si>
  <si>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</si>
  <si>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</si>
  <si>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</si>
  <si>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</si>
  <si>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</si>
  <si>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</si>
  <si>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</si>
  <si>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</si>
  <si>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</si>
  <si>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</si>
  <si>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</si>
  <si>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</si>
  <si>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</si>
  <si>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</si>
  <si>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</si>
  <si>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</si>
  <si>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</si>
  <si>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</si>
  <si>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</si>
  <si>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</si>
  <si>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</si>
  <si>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</si>
  <si>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</si>
  <si>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</si>
  <si>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</si>
  <si>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</si>
  <si>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</si>
  <si>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</si>
  <si>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</si>
  <si>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</si>
  <si>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</si>
  <si>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</si>
  <si>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</si>
  <si>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</si>
  <si>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</si>
  <si>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</si>
  <si>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</si>
  <si>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</si>
  <si>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</si>
  <si>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</si>
  <si>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</si>
  <si>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</si>
  <si>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</si>
  <si>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</si>
  <si>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</si>
  <si>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</si>
  <si>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</si>
  <si>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</si>
  <si>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</si>
  <si>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</si>
  <si>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</si>
  <si>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</si>
  <si>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</si>
  <si>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</si>
  <si>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</si>
  <si>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</si>
  <si>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</si>
  <si>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</si>
  <si>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</si>
  <si>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</si>
  <si>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</si>
  <si>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</si>
  <si>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</si>
  <si>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</si>
  <si>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</si>
  <si>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</si>
  <si>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</si>
  <si>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</si>
  <si>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</si>
  <si>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</si>
  <si>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</si>
  <si>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</si>
  <si>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</si>
  <si>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</si>
  <si>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</si>
  <si>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</si>
  <si>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</si>
  <si>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</si>
  <si>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</si>
  <si>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</si>
  <si>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</si>
  <si>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</si>
  <si>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</si>
  <si>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</si>
  <si>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</si>
  <si>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</si>
  <si>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</si>
  <si>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</si>
  <si>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</si>
  <si>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</si>
  <si>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</si>
  <si>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</si>
  <si>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</si>
  <si>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</si>
  <si>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</si>
  <si>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</si>
  <si>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</si>
  <si>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</si>
  <si>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</si>
  <si>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</si>
  <si>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</si>
  <si>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</si>
  <si>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</si>
  <si>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</si>
  <si>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</si>
  <si>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</si>
  <si>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</si>
  <si>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</si>
  <si>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</si>
  <si>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</si>
  <si>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</si>
  <si>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</si>
  <si>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</si>
  <si>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</si>
  <si>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</si>
  <si>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</si>
  <si>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</si>
  <si>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</si>
  <si>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</si>
  <si>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</si>
  <si>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</si>
  <si>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</si>
  <si>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</si>
  <si>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</si>
  <si>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</si>
  <si>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</si>
  <si>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</si>
  <si>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</si>
  <si>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</si>
  <si>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</si>
  <si>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</si>
  <si>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</si>
  <si>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</si>
  <si>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</si>
  <si>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</si>
  <si>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</si>
  <si>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</si>
  <si>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</si>
  <si>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</si>
  <si>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</si>
  <si>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</si>
  <si>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</si>
  <si>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</si>
  <si>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</si>
  <si>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</si>
  <si>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</si>
  <si>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</si>
  <si>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</si>
  <si>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</si>
  <si>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</si>
  <si>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</si>
  <si>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</si>
  <si>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</si>
  <si>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</si>
  <si>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</si>
  <si>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</si>
  <si>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</si>
  <si>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</si>
  <si>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</si>
  <si>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</si>
  <si>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</si>
  <si>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</si>
  <si>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</si>
  <si>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</si>
  <si>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</si>
  <si>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</si>
  <si>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</si>
  <si>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</si>
  <si>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</si>
  <si>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</si>
  <si>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</si>
  <si>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</si>
  <si>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</si>
  <si>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</si>
  <si>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</si>
  <si>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</si>
  <si>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</si>
  <si>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</si>
  <si>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</si>
  <si>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</si>
  <si>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</si>
  <si>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</si>
  <si>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</si>
  <si>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</si>
  <si>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</si>
  <si>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</si>
  <si>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</si>
  <si>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</si>
  <si>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</si>
  <si>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</si>
  <si>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</si>
  <si>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</si>
  <si>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</si>
  <si>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</si>
  <si>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</si>
  <si>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</si>
  <si>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</si>
  <si>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</si>
  <si>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</si>
  <si>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</si>
  <si>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</si>
  <si>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</si>
  <si>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</si>
  <si>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</si>
  <si>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</si>
  <si>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</si>
  <si>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</si>
  <si>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</si>
  <si>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</si>
  <si>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</si>
  <si>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</si>
  <si>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</si>
  <si>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</si>
  <si>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</si>
  <si>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</si>
  <si>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</si>
  <si>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</si>
  <si>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</si>
  <si>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</si>
  <si>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</si>
  <si>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</si>
  <si>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</si>
  <si>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</si>
  <si>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</si>
  <si>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</si>
  <si>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</si>
  <si>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</si>
  <si>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</si>
  <si>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</si>
  <si>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</si>
  <si>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</si>
  <si>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</si>
  <si>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</si>
  <si>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</si>
  <si>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</si>
  <si>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</si>
  <si>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</si>
  <si>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</si>
  <si>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</si>
  <si>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</si>
  <si>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</si>
  <si>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</si>
  <si>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</si>
  <si>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</si>
  <si>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</si>
  <si>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</si>
  <si>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</si>
  <si>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</si>
  <si>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</si>
  <si>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</si>
  <si>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</si>
  <si>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</si>
  <si>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</si>
  <si>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</si>
  <si>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</si>
  <si>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</si>
  <si>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</si>
  <si>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</si>
  <si>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</si>
  <si>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</si>
  <si>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</si>
  <si>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</si>
  <si>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</si>
  <si>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</si>
  <si>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</si>
  <si>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</si>
  <si>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</si>
  <si>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</si>
  <si>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</si>
  <si>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</si>
  <si>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</si>
  <si>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</si>
  <si>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</si>
  <si>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</si>
  <si>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</si>
  <si>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</si>
  <si>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</si>
  <si>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</si>
  <si>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</si>
  <si>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</si>
  <si>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</si>
  <si>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</si>
  <si>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</si>
  <si>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</si>
  <si>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</si>
  <si>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</si>
  <si>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</si>
  <si>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</si>
  <si>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</si>
  <si>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</si>
  <si>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</si>
  <si>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</si>
  <si>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</si>
  <si>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</si>
  <si>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</si>
  <si>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</si>
  <si>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</si>
  <si>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</si>
  <si>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</si>
  <si>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</si>
  <si>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</si>
  <si>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</si>
  <si>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</si>
  <si>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</si>
  <si>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</si>
  <si>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</si>
  <si>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</si>
  <si>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</si>
  <si>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</si>
  <si>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</si>
  <si>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</si>
  <si>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</si>
  <si>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</si>
  <si>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</si>
  <si>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</si>
  <si>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</si>
  <si>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</si>
  <si>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</si>
  <si>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</si>
  <si>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</si>
  <si>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</si>
  <si>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</si>
  <si>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</si>
  <si>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</si>
  <si>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</si>
  <si>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</si>
  <si>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</si>
  <si>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</si>
  <si>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</si>
  <si>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</si>
  <si>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</si>
  <si>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</si>
  <si>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</si>
  <si>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</si>
  <si>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</si>
  <si>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</si>
  <si>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</si>
  <si>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</si>
  <si>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</si>
  <si>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</si>
  <si>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</si>
  <si>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</si>
  <si>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</si>
  <si>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</si>
  <si>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</si>
  <si>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</si>
  <si>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</si>
  <si>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</si>
  <si>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</si>
  <si>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</si>
  <si>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</si>
  <si>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</si>
  <si>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</si>
  <si>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</si>
  <si>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</si>
  <si>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</si>
  <si>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</si>
  <si>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</si>
  <si>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</si>
  <si>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</si>
  <si>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</si>
  <si>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</si>
  <si>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</si>
  <si>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</si>
  <si>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</si>
  <si>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</si>
  <si>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</si>
  <si>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</si>
  <si>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</si>
  <si>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</si>
  <si>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</si>
  <si>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</si>
  <si>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</si>
  <si>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</si>
  <si>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</si>
  <si>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</si>
  <si>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</si>
  <si>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</si>
  <si>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</si>
  <si>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Em intervalo 14h03 - 17h03 (1º FX alinhado de 03h00)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</si>
  <si>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</si>
  <si>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</si>
  <si>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</si>
  <si>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Aguarda chegada de locomotiva no C71 às 13h00 para desanexar no FMT para W70 (Atraso na chegada do C71 devido não recebimento do TRO)</t>
  </si>
  <si>
    <t>TCSTMI</t>
  </si>
  <si>
    <t>Solicitado MC1 às 09h52 para inspeção R7D entre TCS-TIN / Autorizado às 10h05, em inspeção</t>
  </si>
  <si>
    <t xml:space="preserve">Execução de solda - Condicionado a temperatura </t>
  </si>
  <si>
    <t>TP Pronto às 08h00 no km 288+030 em TCS VIa2 para exec. de solda / Realizado intervalo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</si>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</sst>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26" activePane="bottomRight" state="frozen"/>
      <selection pane="bottomRight" activeCell="J452" sqref="J4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/>
      <c r="AU424" s="232"/>
      <c r="AV424" s="232"/>
      <c r="AW424" s="232"/>
      <c r="AX424" s="38"/>
      <c r="AY424" s="303" t="str">
        <f>IF(D424="","*",IFERROR(IF(ISODD(COUNT(AS424:AX424)),"ERRO",SUM((AT424-AS424),(AV424-AU424),(AX424-AW424))),"ERRO"))</f>
        <v>ERRO</v>
      </c>
      <c r="AZ424" s="13"/>
      <c r="BA424" s="71"/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1</v>
      </c>
      <c r="BI424" s="16"/>
      <c r="BJ424" s="296" t="s">
        <v>1833</v>
      </c>
      <c r="BK424" s="296" t="s">
        <v>1834</v>
      </c>
      <c r="BL424" s="15"/>
      <c r="BM424" s="14"/>
      <c r="BN424" s="14"/>
      <c r="BO424" s="159"/>
      <c r="BP424" s="17"/>
      <c r="BQ424" s="12" t="e">
        <f>IF(AND(BR424&lt;1,BS424&lt;1),"Produção e Intervalo",IF(BR424&lt;1,"Intervalo",IF(BS424&lt;1,"Produção","Aderente")))</f>
        <v>#VALUE!</v>
      </c>
      <c r="BR424" s="18" t="e">
        <f>IF(OR(B424="",F424=""),"*",AY424/P424)</f>
        <v>#VALUE!</v>
      </c>
      <c r="BS424" s="18">
        <f>IF(OR(B424="",F424=""),"*",BA424/Q424)</f>
        <v>0</v>
      </c>
      <c r="BT424" s="215" t="str">
        <f>IF(BN424="","",SUBSTITUTE(BM424," ","")&amp;SUBSTITUTE(BN424," ",""))</f>
        <v/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46.5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/>
      <c r="AS426" s="293"/>
      <c r="AT426" s="293"/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296" t="s">
        <v>1837</v>
      </c>
      <c r="BK426" s="296" t="s">
        <v>1838</v>
      </c>
      <c r="BL426" s="15"/>
      <c r="BM426" s="14"/>
      <c r="BN426" s="14"/>
      <c r="BO426" s="159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/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1289</v>
      </c>
      <c r="J429" s="37">
        <v>74</v>
      </c>
      <c r="K429" s="37">
        <v>291</v>
      </c>
      <c r="L429" s="83">
        <v>1</v>
      </c>
      <c r="M429" s="194" t="s">
        <v>1468</v>
      </c>
      <c r="N429" s="194" t="s">
        <v>1839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TMI</v>
      </c>
      <c r="AM429" s="292" t="str">
        <f>IF(BS_CONTROLE[[#This Row],[Entre - Estações]]=0, "-", BS_CONTROLE[[#This Row],[Entre - Estações]])</f>
        <v>TCS-TMI</v>
      </c>
      <c r="AN429" s="292" t="str">
        <f>IF(BS_CONTROLE[[#This Row],[SB]]=0, "-", BS_CONTROLE[[#This Row],[SB]])</f>
        <v>TCSTMI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291</v>
      </c>
      <c r="AQ429" s="276">
        <f>IF(BS_CONTROLE[[#This Row],[KM - Fim]]=0, "-", BS_CONTROLE[[#This Row],[KM - Fim]])</f>
        <v>1</v>
      </c>
      <c r="AR429" s="293">
        <v>0.41111111111111109</v>
      </c>
      <c r="AS429" s="293">
        <v>0.4201388888888889</v>
      </c>
      <c r="AT429" s="293"/>
      <c r="AU429" s="232"/>
      <c r="AV429" s="232"/>
      <c r="AW429" s="232"/>
      <c r="AX429" s="38"/>
      <c r="AY429" s="303" t="str">
        <f>IF(D429="","*",IFERROR(IF(ISODD(COUNT(AS429:AX429)),"ERRO",SUM((AT429-AS429),(AV429-AU429),(AX429-AW429))),"ERRO"))</f>
        <v>ERRO</v>
      </c>
      <c r="AZ429" s="13"/>
      <c r="BA429" s="71"/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1</v>
      </c>
      <c r="BI429" s="16"/>
      <c r="BJ429" s="296" t="s">
        <v>1840</v>
      </c>
      <c r="BK429" s="296" t="s">
        <v>1840</v>
      </c>
      <c r="BL429" s="15"/>
      <c r="BM429" s="14"/>
      <c r="BN429" s="14"/>
      <c r="BO429" s="159"/>
      <c r="BP429" s="17"/>
      <c r="BQ429" s="12" t="e">
        <f>IF(AND(BR429&lt;1,BS429&lt;1),"Produção e Intervalo",IF(BR429&lt;1,"Intervalo",IF(BS429&lt;1,"Produção","Aderente")))</f>
        <v>#VALUE!</v>
      </c>
      <c r="BR429" s="18" t="e">
        <f>IF(OR(B429="",F429=""),"*",AY429/P429)</f>
        <v>#VALUE!</v>
      </c>
      <c r="BS429" s="18">
        <f>IF(OR(B429="",F429=""),"*",BA429/Q429)</f>
        <v>0</v>
      </c>
      <c r="BT429" s="215" t="str">
        <f>IF(BN429="","",SUBSTITUTE(BM429," ","")&amp;SUBSTITUTE(BN429," ",""))</f>
        <v/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1841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1842</v>
      </c>
      <c r="BK430" s="296" t="s">
        <v>1842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/>
      </c>
      <c r="B433" s="162"/>
      <c r="C433" s="8" t="str">
        <f>IF(BS_CONTROLE[[#This Row],[DATA]]="","",WEEKNUM(BS_CONTROLE[[#This Row],[DATA]]))</f>
        <v/>
      </c>
      <c r="D433" s="51"/>
      <c r="E433" s="304">
        <v>534</v>
      </c>
      <c r="F433" s="166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5" t="str">
        <f>IFERROR(_xlfn.XLOOKUP(J433, BASE_MAPA!$E$2:$E$359, BASE_MAPA!$J$2:$J$359), "ERRO")</f>
        <v>ERRO</v>
      </c>
      <c r="V433" s="289"/>
      <c r="W433" s="322"/>
      <c r="X433" s="51"/>
      <c r="Y433" s="153"/>
      <c r="Z433" s="153"/>
      <c r="AA433" s="143"/>
      <c r="AB433" s="70"/>
      <c r="AC433" s="70"/>
      <c r="AD433" s="167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2" t="str">
        <f>IF(BS_CONTROLE[[#This Row],[Local - Partida]]=0, "-", BS_CONTROLE[[#This Row],[Local - Partida]])</f>
        <v>-</v>
      </c>
      <c r="AL433" s="292" t="str">
        <f>IF(BS_CONTROLE[[#This Row],[Local - Encerramento]]=0, "-", BS_CONTROLE[[#This Row],[Local - Encerramento]])</f>
        <v>-</v>
      </c>
      <c r="AM433" s="292" t="str">
        <f>IF(BS_CONTROLE[[#This Row],[Entre - Estações]]=0, "-", BS_CONTROLE[[#This Row],[Entre - Estações]])</f>
        <v>-</v>
      </c>
      <c r="AN433" s="292" t="str">
        <f>IF(BS_CONTROLE[[#This Row],[SB]]=0, "-", BS_CONTROLE[[#This Row],[SB]])</f>
        <v>-</v>
      </c>
      <c r="AO433" s="275" t="str">
        <f>IF(BS_CONTROLE[[#This Row],[SUB]]=0, "-", BS_CONTROLE[[#This Row],[SUB]])</f>
        <v>-</v>
      </c>
      <c r="AP433" s="276" t="str">
        <f>IF(BS_CONTROLE[[#This Row],[KM - Inicio]]=0, "-", BS_CONTROLE[[#This Row],[KM - Inicio]])</f>
        <v>-</v>
      </c>
      <c r="AQ433" s="276" t="str">
        <f>IF(BS_CONTROLE[[#This Row],[KM - Fim]]=0, "-", BS_CONTROLE[[#This Row],[KM - Fim]])</f>
        <v>-</v>
      </c>
      <c r="AR433" s="293"/>
      <c r="AS433" s="293"/>
      <c r="AT433" s="293"/>
      <c r="AU433" s="232"/>
      <c r="AV433" s="232"/>
      <c r="AW433" s="232"/>
      <c r="AX433" s="38"/>
      <c r="AY433" s="30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7" t="str">
        <f>IFERROR(_xlfn.XLOOKUP(AO433, BASE_MAPA!$E$2:$E$359, BASE_MAPA!$J$2:$J$359), "ERRO")</f>
        <v>ERRO</v>
      </c>
      <c r="BF433" s="277" t="str">
        <f>IF(BS_CONTROLE[[#This Row],[Responsavel pelo boletim]]=0, "-", BS_CONTROLE[[#This Row],[Responsavel pelo boletim]])</f>
        <v>-</v>
      </c>
      <c r="BG433" s="15"/>
      <c r="BH433" s="16"/>
      <c r="BI433" s="16"/>
      <c r="BJ433" s="296"/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/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TAL-TSF</v>
      </c>
      <c r="AN434" s="292" t="str">
        <f>IF(BS_CONTROLE[[#This Row],[SB]]=0, "-", BS_CONTROLE[[#This Row],[SB]])</f>
        <v>TAL699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695.49300000000005</v>
      </c>
      <c r="AQ434" s="276">
        <f>IF(BS_CONTROLE[[#This Row],[KM - Fim]]=0, "-", BS_CONTROLE[[#This Row],[KM - Fim]])</f>
        <v>690.95399999999995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/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>
      <c r="A436" s="161" t="str">
        <f>D436&amp;B436</f>
        <v>W7046049</v>
      </c>
      <c r="B436" s="162">
        <v>46049</v>
      </c>
      <c r="C436" s="8">
        <f>IF(BS_CONTROLE[[#This Row],[DATA]]="","",WEEKNUM(BS_CONTROLE[[#This Row],[DATA]]))</f>
        <v>5</v>
      </c>
      <c r="D436" s="51" t="s">
        <v>847</v>
      </c>
      <c r="E436" s="304">
        <v>537</v>
      </c>
      <c r="F436" s="166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4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5" t="str">
        <f>IFERROR(_xlfn.XLOOKUP(J436, BASE_MAPA!$E$2:$E$359, BASE_MAPA!$J$2:$J$359), "ERRO")</f>
        <v>MARCO INICIAL - ALTO ARAGUAIA</v>
      </c>
      <c r="V436" s="289" t="s">
        <v>1338</v>
      </c>
      <c r="W436" s="322" t="s">
        <v>1844</v>
      </c>
      <c r="X436" s="51" t="s">
        <v>973</v>
      </c>
      <c r="Y436" s="153"/>
      <c r="Z436" s="153"/>
      <c r="AA436" s="83" t="s">
        <v>1845</v>
      </c>
      <c r="AB436" s="70" t="s">
        <v>975</v>
      </c>
      <c r="AC436" s="70" t="s">
        <v>971</v>
      </c>
      <c r="AD436" s="167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2" t="str">
        <f>IF(BS_CONTROLE[[#This Row],[Local - Partida]]=0, "-", BS_CONTROLE[[#This Row],[Local - Partida]])</f>
        <v>TGR2</v>
      </c>
      <c r="AL436" s="292" t="str">
        <f>IF(BS_CONTROLE[[#This Row],[Local - Encerramento]]=0, "-", BS_CONTROLE[[#This Row],[Local - Encerramento]])</f>
        <v>TIQ2</v>
      </c>
      <c r="AM436" s="292" t="str">
        <f>IF(BS_CONTROLE[[#This Row],[Entre - Estações]]=0, "-", BS_CONTROLE[[#This Row],[Entre - Estações]])</f>
        <v>TGR</v>
      </c>
      <c r="AN436" s="292" t="str">
        <f>IF(BS_CONTROLE[[#This Row],[SB]]=0, "-", BS_CONTROLE[[#This Row],[SB]])</f>
        <v>TGR2</v>
      </c>
      <c r="AO436" s="275">
        <f>IF(BS_CONTROLE[[#This Row],[SUB]]=0, "-", BS_CONTROLE[[#This Row],[SUB]])</f>
        <v>74</v>
      </c>
      <c r="AP436" s="276">
        <f>IF(BS_CONTROLE[[#This Row],[KM - Inicio]]=0, "-", BS_CONTROLE[[#This Row],[KM - Inicio]])</f>
        <v>501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7" t="str">
        <f>IFERROR(_xlfn.XLOOKUP(AO436, BASE_MAPA!$E$2:$E$359, BASE_MAPA!$J$2:$J$359), "ERRO")</f>
        <v>MARCO INICIAL - ALTO ARAGUAIA</v>
      </c>
      <c r="BF436" s="277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1846</v>
      </c>
      <c r="X437" s="51" t="s">
        <v>973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/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1847</v>
      </c>
      <c r="W438" s="322" t="s">
        <v>1848</v>
      </c>
      <c r="X438" s="51" t="s">
        <v>973</v>
      </c>
      <c r="Y438" s="153"/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/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1849</v>
      </c>
      <c r="W439" s="322" t="s">
        <v>1850</v>
      </c>
      <c r="X439" s="51" t="s">
        <v>973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/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/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1851</v>
      </c>
      <c r="X441" s="208" t="s">
        <v>973</v>
      </c>
      <c r="Y441" s="153"/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/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1852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1853</v>
      </c>
      <c r="N442" s="194" t="s">
        <v>1854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1855</v>
      </c>
      <c r="W442" s="322" t="s">
        <v>1856</v>
      </c>
      <c r="X442" s="51" t="s">
        <v>973</v>
      </c>
      <c r="Y442" s="153"/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1857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1858</v>
      </c>
      <c r="X443" s="51" t="s">
        <v>973</v>
      </c>
      <c r="Y443" s="153"/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1859</v>
      </c>
      <c r="J444" s="207">
        <v>72</v>
      </c>
      <c r="K444" s="207">
        <v>321</v>
      </c>
      <c r="L444" s="207" t="s">
        <v>609</v>
      </c>
      <c r="M444" s="194" t="s">
        <v>1860</v>
      </c>
      <c r="N444" s="194" t="s">
        <v>1861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1862</v>
      </c>
      <c r="W444" s="167" t="s">
        <v>1863</v>
      </c>
      <c r="X444" s="51" t="s">
        <v>973</v>
      </c>
      <c r="Y444" s="153"/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1864</v>
      </c>
      <c r="X445" s="51" t="s">
        <v>973</v>
      </c>
      <c r="Y445" s="153"/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73"/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5150</v>
      </c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" name="Range1_11_1"/>
    <protectedRange sqref="Z6:AD344 AA435:AD436 AA441:AD441 AA444:AD446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3" operator="equal">
      <formula>"ERRO"</formula>
    </cfRule>
  </conditionalFormatting>
  <conditionalFormatting sqref="X4 Y1:Z368 Y369:Y444">
    <cfRule type="cellIs" dxfId="135" priority="18422" operator="equal">
      <formula>"OPORTUNIDADE"</formula>
    </cfRule>
  </conditionalFormatting>
  <conditionalFormatting sqref="AZ6:AZ416">
    <cfRule type="expression" dxfId="134" priority="18417">
      <formula>$BU6=1</formula>
    </cfRule>
  </conditionalFormatting>
  <conditionalFormatting sqref="BQ6:BQ493">
    <cfRule type="cellIs" dxfId="133" priority="18428" operator="equal">
      <formula>"Produção e Intervalo"</formula>
    </cfRule>
    <cfRule type="cellIs" dxfId="132" priority="18429" operator="equal">
      <formula>"Aderente"</formula>
    </cfRule>
    <cfRule type="cellIs" dxfId="131" priority="18430" operator="equal">
      <formula>"Intervalo"</formula>
    </cfRule>
    <cfRule type="cellIs" dxfId="130" priority="18431" operator="equal">
      <formula>"Produção"</formula>
    </cfRule>
    <cfRule type="cellIs" dxfId="129" priority="18432" operator="equal">
      <formula>"ERRO"</formula>
    </cfRule>
  </conditionalFormatting>
  <conditionalFormatting sqref="BR6:BS446">
    <cfRule type="cellIs" dxfId="128" priority="18410" operator="equal">
      <formula>"*"</formula>
    </cfRule>
    <cfRule type="cellIs" dxfId="127" priority="18411" operator="greaterThanOrEqual">
      <formula>1</formula>
    </cfRule>
    <cfRule type="cellIs" dxfId="126" priority="18412" operator="lessThan">
      <formula>1</formula>
    </cfRule>
  </conditionalFormatting>
  <conditionalFormatting sqref="Y6:Z368 X370:X416 X418 X420 Y369:Y444">
    <cfRule type="cellIs" dxfId="125" priority="18358" operator="equal">
      <formula>"NÃO"</formula>
    </cfRule>
    <cfRule type="cellIs" dxfId="124" priority="18359" operator="equal">
      <formula>"SIM"</formula>
    </cfRule>
  </conditionalFormatting>
  <conditionalFormatting sqref="X370:X416 X418 X420">
    <cfRule type="cellIs" dxfId="123" priority="18357" operator="equal">
      <formula>"OPORTUNIDADE"</formula>
    </cfRule>
  </conditionalFormatting>
  <conditionalFormatting sqref="Z369:Z416">
    <cfRule type="cellIs" dxfId="122" priority="18355" operator="equal">
      <formula>"NÃO"</formula>
    </cfRule>
    <cfRule type="cellIs" dxfId="121" priority="18356" operator="equal">
      <formula>"SIM"</formula>
    </cfRule>
  </conditionalFormatting>
  <conditionalFormatting sqref="Z369:Z416">
    <cfRule type="cellIs" dxfId="120" priority="18354" operator="equal">
      <formula>"OPORTUNIDADE"</formula>
    </cfRule>
  </conditionalFormatting>
  <conditionalFormatting sqref="Y1048469:Y1048576">
    <cfRule type="cellIs" dxfId="119" priority="18239" operator="equal">
      <formula>"OPORTUNIDADE"</formula>
    </cfRule>
  </conditionalFormatting>
  <conditionalFormatting sqref="Y1048469:Y1048576">
    <cfRule type="cellIs" dxfId="118" priority="18237" operator="equal">
      <formula>"NÃO"</formula>
    </cfRule>
    <cfRule type="cellIs" dxfId="117" priority="18238" operator="equal">
      <formula>"SIM"</formula>
    </cfRule>
  </conditionalFormatting>
  <conditionalFormatting sqref="Z417:Z444">
    <cfRule type="cellIs" dxfId="116" priority="17974" operator="equal">
      <formula>"OPORTUNIDADE"</formula>
    </cfRule>
  </conditionalFormatting>
  <conditionalFormatting sqref="Z417:Z444">
    <cfRule type="cellIs" dxfId="115" priority="17972" operator="equal">
      <formula>"NÃO"</formula>
    </cfRule>
    <cfRule type="cellIs" dxfId="114" priority="17973" operator="equal">
      <formula>"SIM"</formula>
    </cfRule>
  </conditionalFormatting>
  <conditionalFormatting sqref="Z443">
    <cfRule type="cellIs" dxfId="113" priority="17957" operator="equal">
      <formula>"NÃO"</formula>
    </cfRule>
    <cfRule type="cellIs" dxfId="112" priority="17958" operator="equal">
      <formula>"SIM"</formula>
    </cfRule>
  </conditionalFormatting>
  <conditionalFormatting sqref="Z443">
    <cfRule type="cellIs" dxfId="111" priority="17956" operator="equal">
      <formula>"OPORTUNIDADE"</formula>
    </cfRule>
  </conditionalFormatting>
  <conditionalFormatting sqref="BI443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6">
      <formula>$BU386=1</formula>
    </cfRule>
  </conditionalFormatting>
  <conditionalFormatting sqref="AZ419:AZ443">
    <cfRule type="expression" dxfId="109" priority="18736">
      <formula>$BU391=1</formula>
    </cfRule>
  </conditionalFormatting>
  <conditionalFormatting sqref="BI417:BI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1" operator="equal">
      <formula>"*"</formula>
    </cfRule>
    <cfRule type="cellIs" dxfId="107" priority="13372" operator="greaterThanOrEqual">
      <formula>1</formula>
    </cfRule>
    <cfRule type="cellIs" dxfId="106" priority="13373" operator="lessThan">
      <formula>1</formula>
    </cfRule>
  </conditionalFormatting>
  <conditionalFormatting sqref="BK1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2">
      <iconSet showValue="0">
        <cfvo type="percent" val="0"/>
        <cfvo type="num" val="1"/>
        <cfvo type="num" val="1" gte="0"/>
      </iconSet>
    </cfRule>
    <cfRule type="iconSet" priority="2067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1865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1866</v>
      </c>
      <c r="E3" s="306" t="s">
        <v>1867</v>
      </c>
      <c r="F3" s="306" t="s">
        <v>1868</v>
      </c>
      <c r="G3" s="306" t="s">
        <v>1869</v>
      </c>
      <c r="H3" s="306" t="s">
        <v>1870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1871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1872</v>
      </c>
      <c r="G10" s="307" t="s">
        <v>1873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1874</v>
      </c>
      <c r="G11" s="307" t="s">
        <v>1875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1876</v>
      </c>
      <c r="G12" s="307" t="s">
        <v>1875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1877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1878</v>
      </c>
      <c r="C4" s="311" t="s">
        <v>1879</v>
      </c>
      <c r="D4" s="311" t="s">
        <v>1880</v>
      </c>
      <c r="E4" s="311" t="s">
        <v>1881</v>
      </c>
      <c r="F4" s="311" t="s">
        <v>7</v>
      </c>
      <c r="G4" s="311" t="s">
        <v>1882</v>
      </c>
      <c r="H4" s="182"/>
    </row>
    <row r="5" spans="1:8">
      <c r="A5" s="182"/>
      <c r="B5" s="312" t="s">
        <v>1883</v>
      </c>
      <c r="C5" s="312">
        <v>309525</v>
      </c>
      <c r="D5" s="312" t="s">
        <v>1884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1885</v>
      </c>
      <c r="C6" s="312">
        <v>257410</v>
      </c>
      <c r="D6" s="312" t="s">
        <v>1886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1887</v>
      </c>
      <c r="C7" s="312">
        <v>256875</v>
      </c>
      <c r="D7" s="312" t="s">
        <v>1888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1889</v>
      </c>
      <c r="C8" s="312">
        <v>257278</v>
      </c>
      <c r="D8" s="312" t="s">
        <v>1890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1891</v>
      </c>
      <c r="C9" s="312">
        <v>261794</v>
      </c>
      <c r="D9" s="312" t="s">
        <v>1892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1893</v>
      </c>
      <c r="C10" s="312">
        <v>257033</v>
      </c>
      <c r="D10" s="312" t="s">
        <v>1894</v>
      </c>
      <c r="E10" s="312" t="s">
        <v>838</v>
      </c>
      <c r="F10" s="312" t="s">
        <v>194</v>
      </c>
      <c r="G10" s="312" t="s">
        <v>1895</v>
      </c>
      <c r="H10" s="182"/>
    </row>
    <row r="11" spans="1:8">
      <c r="A11" s="182"/>
      <c r="B11" s="312" t="s">
        <v>1896</v>
      </c>
      <c r="C11" s="312">
        <v>396578</v>
      </c>
      <c r="D11" s="312" t="s">
        <v>1897</v>
      </c>
      <c r="E11" s="312" t="s">
        <v>838</v>
      </c>
      <c r="F11" s="312" t="s">
        <v>194</v>
      </c>
      <c r="G11" s="312" t="s">
        <v>1895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G1" workbookViewId="0">
      <selection activeCell="B431" sqref="B431:U44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1898</v>
      </c>
      <c r="W1" s="386"/>
      <c r="X1" s="386"/>
      <c r="Y1" s="103"/>
    </row>
    <row r="2" spans="1:25" s="100" customFormat="1" ht="11.25" customHeight="1">
      <c r="A2" s="104" t="s">
        <v>1899</v>
      </c>
      <c r="B2" s="104" t="s">
        <v>1900</v>
      </c>
      <c r="C2" s="104" t="s">
        <v>605</v>
      </c>
      <c r="D2" s="105" t="s">
        <v>1178</v>
      </c>
      <c r="E2" s="105" t="s">
        <v>1179</v>
      </c>
      <c r="F2" s="105" t="s">
        <v>1901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1902</v>
      </c>
      <c r="U2" s="107" t="s">
        <v>1181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220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18" t="str">
        <f>IF(FN_MC!N429="","*",FN_MC!N429)</f>
        <v>TCSTMI</v>
      </c>
      <c r="M426" s="110">
        <f>IF(FN_MC!J429="","*",FN_MC!J429)</f>
        <v>74</v>
      </c>
      <c r="N426" s="286">
        <f>IF(FN_MC!K429="","*",FN_MC!K429)</f>
        <v>291</v>
      </c>
      <c r="O426" s="286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18" t="str">
        <f>IF(FN_MC!N433="","*",FN_MC!N433)</f>
        <v>-</v>
      </c>
      <c r="M430" s="110" t="str">
        <f>IF(FN_MC!J433="","*",FN_MC!J433)</f>
        <v>*</v>
      </c>
      <c r="N430" s="286" t="str">
        <f>IF(FN_MC!K433="","*",FN_MC!K433)</f>
        <v>*</v>
      </c>
      <c r="O430" s="286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TAL-TSF</v>
      </c>
      <c r="L431" s="318" t="str">
        <f>IF(FN_MC!N434="","*",FN_MC!N434)</f>
        <v>TAL699</v>
      </c>
      <c r="M431" s="110">
        <f>IF(FN_MC!J434="","*",FN_MC!J434)</f>
        <v>98</v>
      </c>
      <c r="N431" s="286">
        <f>IF(FN_MC!K434="","*",FN_MC!K434)</f>
        <v>695.49300000000005</v>
      </c>
      <c r="O431" s="286">
        <f>IF(FN_MC!L434="","*",FN_MC!L434)</f>
        <v>690.95399999999995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1353</v>
      </c>
      <c r="W431" s="111">
        <f ca="1">_xlfn.XLOOKUP(G431&amp;$W$2,BS_CONTROLE[CHAVE],BS_CONTROLE[Quantidade_11],"-")</f>
        <v>0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18" t="str">
        <f>IF(FN_MC!N436="","*",FN_MC!N436)</f>
        <v>TGR2</v>
      </c>
      <c r="M433" s="110">
        <f>IF(FN_MC!J436="","*",FN_MC!J436)</f>
        <v>74</v>
      </c>
      <c r="N433" s="286">
        <f>IF(FN_MC!K436="","*",FN_MC!K436)</f>
        <v>501</v>
      </c>
      <c r="O433" s="286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>
      <c r="A435" s="108" t="str">
        <f>IF(FN_MC!Y438="","*",FN_MC!Y438)</f>
        <v>*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220</v>
      </c>
    </row>
    <row r="436" spans="1:24" s="112" customFormat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1</v>
      </c>
    </row>
    <row r="441" spans="1:24" s="112" customFormat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>
      <c r="A442" s="108" t="str">
        <f>IF(FN_MC!Y445="","*",FN_MC!Y445)</f>
        <v>*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>
        <f ca="1">_xlfn.XLOOKUP(G442&amp;$X$2,BS_CONTROLE[CHAVE],BS_CONTROLE[Quantidade_11],"-")</f>
        <v>0</v>
      </c>
    </row>
    <row r="443" spans="1:24" s="112" customFormat="1">
      <c r="A443" s="108" t="str">
        <f>IF(FN_MC!Y446="","*",FN_MC!Y446)</f>
        <v>*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>
        <f>IF(FN_MC!J452="","*",FN_MC!J452)</f>
        <v>5150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1903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1904</v>
      </c>
      <c r="C2" s="95" t="s">
        <v>1163</v>
      </c>
      <c r="D2" s="95" t="s">
        <v>1165</v>
      </c>
      <c r="E2" s="95" t="s">
        <v>1905</v>
      </c>
      <c r="F2" s="95" t="s">
        <v>1906</v>
      </c>
      <c r="G2" s="95" t="s">
        <v>1907</v>
      </c>
      <c r="H2" s="95" t="s">
        <v>1908</v>
      </c>
      <c r="I2" s="95" t="s">
        <v>1909</v>
      </c>
      <c r="J2" s="95" t="s">
        <v>1910</v>
      </c>
      <c r="K2" s="130" t="s">
        <v>1911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*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*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*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*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1912</v>
      </c>
      <c r="D5" s="388"/>
      <c r="E5" s="388"/>
      <c r="F5" s="388"/>
      <c r="G5" s="388"/>
      <c r="H5" s="388"/>
      <c r="I5" s="388"/>
      <c r="J5" s="389"/>
      <c r="K5" s="390" t="s">
        <v>1913</v>
      </c>
      <c r="L5" s="391"/>
      <c r="M5" s="391"/>
      <c r="N5" s="391"/>
      <c r="O5" s="392" t="s">
        <v>1914</v>
      </c>
      <c r="P5" s="393"/>
      <c r="Q5" s="394"/>
    </row>
    <row r="6" spans="1:17" s="93" customFormat="1" ht="15.75" customHeight="1">
      <c r="A6" s="87" t="s">
        <v>1901</v>
      </c>
      <c r="B6" s="94" t="s">
        <v>1900</v>
      </c>
      <c r="C6" s="95" t="s">
        <v>1178</v>
      </c>
      <c r="D6" s="96" t="s">
        <v>1179</v>
      </c>
      <c r="E6" s="95" t="s">
        <v>1915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1916</v>
      </c>
      <c r="M6" s="138" t="s">
        <v>628</v>
      </c>
      <c r="N6" s="139" t="s">
        <v>1173</v>
      </c>
      <c r="O6" s="236" t="s">
        <v>1216</v>
      </c>
      <c r="P6" s="152"/>
      <c r="Q6" s="183" t="s">
        <v>1917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1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Em intervalo 14h03 - 17h03 (1º FX alinhado de 03h00)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 t="str">
        <f>IF(FN_MC!BH426="","*",FN_MC!BH426)</f>
        <v>*</v>
      </c>
      <c r="P515" s="90"/>
      <c r="Q515" s="144" t="str">
        <f>IF($A$2=1,IF(FN_MC!BJ426="","*",FN_MC!BJ426),IF(FN_MC!BK426="","*",FN_MC!BK426))</f>
        <v>Alinhado táxi para Maq. Kleber + Ênio às 11h00 do pernoite de TRO para FMT / Aguarda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8">
        <f>IF(FN_MC!BH429="","*",FN_MC!BH429)</f>
        <v>1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1917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2026-01-26T19:07:15Z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