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41" documentId="8_{B6337239-1A00-434D-AAD0-422EA1FEB5AE}" xr6:coauthVersionLast="47" xr6:coauthVersionMax="47" xr10:uidLastSave="{28A8F3C0-2E54-404C-AC8D-DF3FAFD23A4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70" i="1" l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M473" i="1" a="1"/>
  <c r="M473" i="1"/>
  <c r="N473" i="1" a="1"/>
  <c r="N473" i="1"/>
  <c r="M474" i="1" a="1"/>
  <c r="M474" i="1"/>
  <c r="N474" i="1" a="1"/>
  <c r="N474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2" i="1"/>
  <c r="AN472" i="1"/>
  <c r="AM473" i="1"/>
  <c r="AN473" i="1"/>
  <c r="AM474" i="1"/>
  <c r="AN474" i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 s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AJ355" i="1"/>
  <c r="AK355" i="1"/>
  <c r="AL355" i="1"/>
  <c r="AM355" i="1"/>
  <c r="AN355" i="1"/>
  <c r="AO355" i="1"/>
  <c r="BE355" i="1" s="1"/>
  <c r="AP355" i="1"/>
  <c r="AQ355" i="1"/>
  <c r="BB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BD357" i="1" s="1" a="1"/>
  <c r="BD357" i="1" s="1"/>
  <c r="AP357" i="1"/>
  <c r="AQ357" i="1"/>
  <c r="BB357" i="1"/>
  <c r="BC357" i="1" a="1"/>
  <c r="BC357" i="1" s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B360" i="1"/>
  <c r="BC360" i="1" a="1"/>
  <c r="BC360" i="1" s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BE361" i="1" s="1"/>
  <c r="AP361" i="1"/>
  <c r="AQ361" i="1"/>
  <c r="BB361" i="1"/>
  <c r="BC361" i="1" a="1"/>
  <c r="BC361" i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N364" i="1"/>
  <c r="AO364" i="1"/>
  <c r="BE364" i="1" s="1"/>
  <c r="AP364" i="1"/>
  <c r="AQ364" i="1"/>
  <c r="BB364" i="1"/>
  <c r="BC364" i="1" a="1"/>
  <c r="BC364" i="1" s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BE365" i="1" s="1"/>
  <c r="AP365" i="1"/>
  <c r="AQ365" i="1"/>
  <c r="BB365" i="1"/>
  <c r="BC365" i="1" a="1"/>
  <c r="BC365" i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BE368" i="1" s="1"/>
  <c r="AP368" i="1"/>
  <c r="AQ368" i="1"/>
  <c r="BC368" i="1" a="1"/>
  <c r="BC368" i="1" s="1"/>
  <c r="BD368" i="1" a="1"/>
  <c r="BD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BE369" i="1" s="1"/>
  <c r="AP369" i="1"/>
  <c r="AQ369" i="1"/>
  <c r="BC369" i="1" a="1"/>
  <c r="BC369" i="1" s="1"/>
  <c r="BD369" i="1" a="1"/>
  <c r="BD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M373" i="1"/>
  <c r="AN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372" i="1" l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<sst xmlns="http://schemas.openxmlformats.org/spreadsheetml/2006/main" count="8001" uniqueCount="1972">
  <si>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</si>
  <si>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</si>
  <si>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</si>
  <si>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</si>
  <si>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</si>
  <si>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</si>
  <si>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</si>
  <si>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</si>
  <si>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</si>
  <si>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</si>
  <si>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</si>
  <si>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</si>
  <si>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</si>
  <si>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</si>
  <si>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</si>
  <si>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</si>
  <si>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</si>
  <si>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</si>
  <si>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</si>
  <si>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</si>
  <si>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</si>
  <si>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</si>
  <si>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</si>
  <si>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</si>
  <si>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</si>
  <si>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</si>
  <si>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</si>
  <si>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</si>
  <si>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</si>
  <si>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</si>
  <si>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</si>
  <si>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</si>
  <si>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</si>
  <si>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</si>
  <si>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</si>
  <si>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</si>
  <si>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</si>
  <si>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</si>
  <si>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</si>
  <si>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</si>
  <si>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</si>
  <si>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</si>
  <si>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</si>
  <si>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</si>
  <si>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</si>
  <si>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</si>
  <si>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</si>
  <si>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</si>
  <si>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</si>
  <si>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</si>
  <si>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</si>
  <si>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</si>
  <si>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</si>
  <si>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</si>
  <si>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</si>
  <si>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</si>
  <si>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</si>
  <si>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</si>
  <si>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</si>
  <si>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</si>
  <si>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</si>
  <si>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</si>
  <si>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</si>
  <si>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</si>
  <si>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</si>
  <si>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</si>
  <si>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</si>
  <si>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</si>
  <si>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</si>
  <si>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</si>
  <si>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</si>
  <si>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</si>
  <si>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</si>
  <si>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</si>
  <si>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</si>
  <si>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</si>
  <si>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</si>
  <si>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</si>
  <si>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</si>
  <si>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</si>
  <si>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</si>
  <si>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</si>
  <si>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</si>
  <si>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</si>
  <si>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</si>
  <si>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</si>
  <si>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</si>
  <si>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</si>
  <si>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</si>
  <si>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</si>
  <si>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</si>
  <si>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</si>
  <si>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</si>
  <si>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</si>
  <si>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</si>
  <si>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</si>
  <si>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</si>
  <si>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</si>
  <si>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</si>
  <si>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</si>
  <si>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</si>
  <si>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</si>
  <si>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</si>
  <si>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</si>
  <si>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</si>
  <si>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</si>
  <si>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</si>
  <si>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</si>
  <si>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</si>
  <si>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</si>
  <si>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</si>
  <si>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</si>
  <si>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</si>
  <si>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</si>
  <si>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</si>
  <si>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</si>
  <si>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</si>
  <si>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</si>
  <si>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</si>
  <si>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</si>
  <si>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</si>
  <si>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</si>
  <si>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</si>
  <si>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</si>
  <si>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</si>
  <si>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</si>
  <si>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</si>
  <si>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</si>
  <si>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</si>
  <si>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</si>
  <si>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</si>
  <si>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</si>
  <si>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</si>
  <si>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</si>
  <si>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</si>
  <si>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</si>
  <si>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</si>
  <si>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</si>
  <si>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</si>
  <si>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</si>
  <si>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</si>
  <si>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</si>
  <si>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</si>
  <si>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</si>
  <si>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</si>
  <si>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</si>
  <si>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</si>
  <si>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</si>
  <si>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</si>
  <si>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</si>
  <si>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</si>
  <si>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</si>
  <si>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</si>
  <si>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</si>
  <si>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</si>
  <si>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</si>
  <si>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</si>
  <si>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</si>
  <si>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</si>
  <si>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</si>
  <si>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</si>
  <si>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</si>
  <si>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</si>
  <si>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</si>
  <si>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</si>
  <si>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</si>
  <si>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</si>
  <si>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</si>
  <si>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</si>
  <si>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</si>
  <si>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</si>
  <si>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</si>
  <si>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</si>
  <si>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</si>
  <si>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</si>
  <si>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</si>
  <si>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</si>
  <si>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</si>
  <si>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</si>
  <si>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</si>
  <si>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</si>
  <si>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</si>
  <si>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</si>
  <si>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</si>
  <si>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</si>
  <si>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</si>
  <si>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</si>
  <si>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</si>
  <si>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</si>
  <si>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</si>
  <si>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</si>
  <si>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</si>
  <si>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</si>
  <si>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</si>
  <si>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</si>
  <si>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</si>
  <si>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</si>
  <si>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</si>
  <si>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</si>
  <si>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</si>
  <si>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</si>
  <si>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</si>
  <si>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</si>
  <si>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</si>
  <si>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</si>
  <si>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</si>
  <si>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</si>
  <si>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</si>
  <si>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</si>
  <si>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</si>
  <si>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</si>
  <si>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</si>
  <si>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</si>
  <si>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</si>
  <si>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</si>
  <si>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</si>
  <si>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</si>
  <si>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</si>
  <si>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</si>
  <si>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</si>
  <si>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</si>
  <si>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</si>
  <si>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</si>
  <si>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</si>
  <si>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</si>
  <si>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</si>
  <si>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</si>
  <si>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</si>
  <si>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</si>
  <si>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</si>
  <si>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</si>
  <si>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</si>
  <si>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</si>
  <si>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</si>
  <si>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</si>
  <si>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</si>
  <si>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</si>
  <si>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</si>
  <si>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</si>
  <si>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</si>
  <si>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</si>
  <si>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</si>
  <si>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</si>
  <si>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</si>
  <si>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</si>
  <si>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</si>
  <si>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</si>
  <si>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</si>
  <si>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</si>
  <si>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</si>
  <si>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</si>
  <si>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</si>
  <si>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</si>
  <si>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</si>
  <si>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</si>
  <si>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</si>
  <si>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</si>
  <si>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</si>
  <si>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</si>
  <si>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</si>
  <si>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</si>
  <si>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</si>
  <si>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</si>
  <si>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</si>
  <si>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</si>
  <si>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</si>
  <si>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</si>
  <si>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</si>
  <si>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</si>
  <si>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</si>
  <si>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</si>
  <si>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</si>
  <si>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</si>
  <si>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</si>
  <si>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</si>
  <si>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</si>
  <si>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</si>
  <si>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</si>
  <si>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</si>
  <si>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</si>
  <si>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</si>
  <si>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</si>
  <si>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</si>
  <si>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</si>
  <si>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</si>
  <si>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</si>
  <si>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</si>
  <si>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</si>
  <si>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</si>
  <si>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</si>
  <si>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</si>
  <si>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</si>
  <si>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</si>
  <si>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</si>
  <si>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</si>
  <si>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</si>
  <si>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</si>
  <si>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</si>
  <si>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</si>
  <si>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</si>
  <si>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</si>
  <si>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</si>
  <si>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</si>
  <si>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</si>
  <si>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</si>
  <si>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</si>
  <si>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</si>
  <si>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</si>
  <si>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</si>
  <si>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</si>
  <si>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</si>
  <si>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</si>
  <si>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</si>
  <si>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</si>
  <si>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</si>
  <si>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</si>
  <si>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</si>
  <si>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</si>
  <si>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</si>
  <si>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</si>
  <si>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</si>
  <si>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</si>
  <si>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</si>
  <si>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</si>
  <si>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</si>
  <si>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</si>
  <si>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</si>
  <si>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</si>
  <si>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</si>
  <si>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</si>
  <si>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</si>
  <si>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</si>
  <si>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</si>
  <si>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</si>
  <si>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</si>
  <si>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</si>
  <si>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</si>
  <si>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</si>
  <si>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</si>
  <si>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</si>
  <si>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</si>
  <si>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</si>
  <si>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</si>
  <si>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</si>
  <si>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</si>
  <si>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</si>
  <si>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</si>
  <si>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</si>
  <si>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</si>
  <si>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</si>
  <si>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</si>
  <si>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</si>
  <si>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</si>
  <si>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</si>
  <si>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</si>
  <si>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</si>
  <si>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</si>
  <si>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</si>
  <si>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</si>
  <si>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</si>
  <si>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</si>
  <si>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</si>
  <si>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</si>
  <si>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</si>
  <si>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</si>
  <si>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</si>
  <si>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</si>
  <si>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</si>
  <si>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</si>
  <si>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</si>
  <si>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</si>
  <si>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</si>
  <si>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</si>
  <si>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</si>
  <si>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</si>
  <si>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</si>
  <si>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</si>
  <si>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</si>
  <si>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</si>
  <si>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</si>
  <si>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</si>
  <si>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</si>
  <si>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</si>
  <si>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</si>
  <si>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</si>
  <si>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</si>
  <si>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</si>
  <si>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</si>
  <si>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</si>
  <si>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</si>
  <si>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</si>
  <si>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</si>
  <si>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</si>
  <si>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</si>
  <si>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</si>
  <si>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</si>
  <si>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</si>
  <si>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</si>
  <si>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</si>
  <si>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</si>
  <si>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</si>
  <si>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</si>
  <si>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</si>
  <si>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</si>
  <si>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</si>
  <si>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</si>
  <si>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</si>
  <si>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</si>
  <si>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</si>
  <si>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</si>
  <si>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</si>
  <si>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</si>
  <si>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</si>
  <si>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</si>
  <si>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</si>
  <si>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</si>
  <si>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</si>
  <si>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</si>
  <si>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</si>
  <si>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</si>
  <si>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</si>
  <si>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</si>
  <si>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</si>
  <si>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</si>
  <si>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</si>
  <si>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</si>
  <si>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</si>
  <si>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</si>
  <si>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</si>
  <si>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</si>
  <si>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</si>
  <si>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</si>
  <si>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</si>
  <si>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</si>
  <si>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</si>
  <si>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</si>
  <si>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</si>
  <si>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</si>
  <si>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</si>
  <si>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</si>
  <si>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</si>
  <si>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</si>
  <si>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</si>
  <si>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</si>
  <si>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</si>
  <si>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</si>
  <si>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</si>
  <si>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</si>
  <si>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</si>
  <si>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</si>
  <si>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</si>
  <si>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</si>
  <si>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</si>
  <si>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</si>
  <si>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</si>
  <si>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</si>
  <si>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</si>
  <si>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</si>
  <si>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</si>
  <si>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</si>
  <si>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</si>
  <si>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</si>
  <si>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</si>
  <si>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</si>
  <si>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</si>
  <si>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</si>
  <si>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</si>
  <si>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</si>
  <si>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</si>
  <si>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</si>
  <si>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</si>
  <si>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</si>
  <si>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</si>
  <si>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</si>
  <si>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</si>
  <si>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</si>
  <si>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</si>
  <si>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</si>
  <si>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</si>
  <si>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</si>
  <si>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</si>
  <si>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</si>
  <si>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</si>
  <si>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</si>
  <si>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</si>
  <si>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</si>
  <si>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</si>
  <si>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</si>
  <si>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</si>
  <si>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</si>
  <si>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</si>
  <si>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</si>
  <si>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</si>
  <si>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</si>
  <si>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</si>
  <si>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</si>
  <si>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</si>
  <si>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</si>
  <si>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</si>
  <si>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</si>
  <si>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</si>
  <si>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</si>
  <si>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</si>
  <si>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</si>
  <si>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</si>
  <si>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</si>
  <si>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</si>
  <si>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</si>
  <si>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</si>
  <si>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</si>
  <si>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</si>
  <si>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</si>
  <si>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</si>
  <si>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</si>
  <si>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</si>
  <si>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</si>
  <si>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</si>
  <si>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</si>
  <si>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</si>
  <si>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</si>
  <si>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</si>
  <si>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</si>
  <si>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</si>
  <si>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</si>
  <si>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</si>
  <si>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</si>
  <si>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</si>
  <si>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</si>
  <si>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</si>
  <si>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</si>
  <si>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</si>
  <si>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</si>
  <si>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</si>
  <si>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</si>
  <si>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</si>
  <si>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</si>
  <si>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</si>
  <si>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</si>
  <si>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</si>
  <si>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</si>
  <si>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</si>
  <si>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</si>
  <si>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</si>
  <si>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</si>
  <si>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</si>
  <si>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</si>
  <si>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</si>
  <si>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</si>
  <si>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</si>
  <si>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</si>
  <si>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</si>
  <si>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</si>
  <si>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</si>
  <si>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</si>
  <si>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</si>
  <si>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</si>
  <si>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</si>
  <si>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</si>
  <si>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</si>
  <si>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</si>
  <si>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</si>
  <si>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</si>
  <si>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</si>
  <si>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</si>
  <si>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</si>
  <si>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</si>
  <si>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</si>
  <si>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</si>
  <si>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</si>
  <si>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</si>
  <si>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</si>
  <si>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</si>
  <si>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</si>
  <si>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</si>
  <si>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</si>
  <si>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</si>
  <si>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</si>
  <si>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</si>
  <si>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</si>
  <si>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</si>
  <si>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</si>
  <si>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</si>
  <si>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</si>
  <si>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</si>
  <si>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</si>
  <si>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</si>
  <si>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</si>
  <si>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</si>
  <si>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</si>
  <si>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</si>
  <si>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</si>
  <si>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</si>
  <si>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</si>
  <si>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</si>
  <si>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</si>
  <si>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</si>
  <si>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</si>
  <si>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</si>
  <si>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</si>
  <si>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</si>
  <si>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</si>
  <si>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</si>
  <si>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</si>
  <si>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</si>
  <si>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</si>
  <si>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</si>
  <si>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</si>
  <si>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</si>
  <si>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</si>
  <si>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</si>
  <si>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</si>
  <si>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</si>
  <si>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</si>
  <si>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</si>
  <si>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</si>
  <si>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</si>
  <si>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</si>
  <si>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</si>
  <si>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</si>
  <si>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</si>
  <si>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</si>
  <si>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</si>
  <si>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</si>
  <si>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</si>
  <si>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</si>
  <si>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</si>
  <si>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</si>
  <si>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</si>
  <si>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</si>
  <si>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</si>
  <si>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</si>
  <si>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</si>
  <si>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</si>
  <si>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</si>
  <si>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</si>
  <si>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</si>
  <si>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</si>
  <si>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</si>
  <si>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</si>
  <si>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</si>
  <si>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</si>
  <si>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</si>
  <si>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</si>
  <si>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</si>
  <si>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</si>
  <si>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</si>
  <si>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</si>
  <si>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</si>
  <si>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</si>
  <si>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</si>
  <si>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</si>
  <si>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</si>
  <si>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</si>
  <si>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</si>
  <si>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</si>
  <si>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</si>
  <si>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</si>
  <si>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</si>
  <si>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</si>
  <si>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</si>
  <si>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</si>
  <si>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</si>
  <si>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</si>
  <si>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</si>
  <si>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</si>
  <si>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</si>
  <si>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</si>
  <si>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</si>
  <si>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</si>
  <si>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</si>
  <si>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</si>
  <si>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</si>
  <si>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</si>
  <si>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</si>
  <si>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</si>
  <si>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</si>
  <si>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</si>
  <si>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</si>
  <si>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</si>
  <si>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</si>
  <si>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</si>
  <si>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</si>
  <si>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</si>
  <si>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</si>
  <si>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</si>
  <si>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</si>
  <si>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</si>
  <si>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</si>
  <si>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</si>
  <si>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</si>
  <si>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</si>
  <si>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</si>
  <si>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</si>
  <si>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</si>
  <si>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</si>
  <si>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</si>
  <si>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</si>
  <si>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</si>
  <si>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</si>
  <si>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</si>
  <si>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</si>
  <si>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</si>
  <si>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</si>
  <si>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</si>
  <si>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</si>
  <si>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</si>
  <si>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</si>
  <si>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</si>
  <si>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</si>
  <si>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</si>
  <si>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</si>
  <si>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</si>
  <si>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</si>
  <si>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</si>
  <si>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</si>
  <si>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</si>
  <si>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</si>
  <si>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</si>
  <si>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</si>
  <si>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</si>
  <si>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</si>
  <si>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</si>
  <si>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</si>
  <si>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</si>
  <si>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</si>
  <si>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</si>
  <si>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</si>
  <si>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</si>
  <si>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</si>
  <si>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</si>
  <si>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</si>
  <si>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</si>
  <si>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</si>
  <si>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</si>
  <si>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</si>
  <si>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</si>
  <si>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</si>
  <si>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</si>
  <si>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</si>
  <si>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</si>
  <si>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</si>
  <si>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</si>
  <si>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</si>
  <si>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</si>
  <si>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</si>
  <si>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</si>
  <si>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</si>
  <si>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</si>
  <si>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</si>
  <si>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</si>
  <si>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</si>
  <si>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</si>
  <si>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</si>
  <si>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</si>
  <si>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</si>
  <si>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</si>
  <si>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</si>
  <si>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</si>
  <si>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</si>
  <si>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</si>
  <si>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</si>
  <si>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</si>
  <si>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</si>
  <si>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</si>
  <si>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</si>
  <si>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</si>
  <si>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</si>
  <si>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</si>
  <si>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</si>
  <si>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</si>
  <si>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</si>
  <si>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</si>
  <si>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</si>
  <si>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</si>
  <si>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</si>
  <si>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</si>
  <si>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</si>
  <si>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</si>
  <si>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</si>
  <si>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</si>
  <si>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</si>
  <si>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</si>
  <si>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</si>
  <si>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</si>
  <si>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</si>
  <si>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</si>
  <si>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</si>
  <si>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</si>
  <si>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</si>
  <si>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</si>
  <si>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</si>
  <si>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</si>
  <si>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</si>
  <si>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</si>
  <si>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</si>
  <si>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</si>
  <si>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</si>
  <si>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</si>
  <si>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</si>
  <si>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</si>
  <si>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</si>
  <si>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</si>
  <si>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</si>
  <si>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</si>
  <si>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</si>
  <si>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</si>
  <si>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</si>
  <si>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</si>
  <si>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</si>
  <si>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</si>
  <si>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</si>
  <si>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</si>
  <si>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</si>
  <si>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</si>
  <si>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</si>
  <si>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</si>
  <si>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</si>
  <si>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</si>
  <si>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</si>
  <si>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</si>
  <si>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</si>
  <si>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</si>
  <si>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</si>
  <si>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</si>
  <si>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</si>
  <si>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</si>
  <si>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</si>
  <si>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</si>
  <si>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</si>
  <si>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</si>
  <si>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</si>
  <si>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</si>
  <si>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</si>
  <si>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</si>
  <si>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</si>
  <si>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</si>
  <si>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</si>
  <si>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</si>
  <si>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</si>
  <si>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</si>
  <si>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</si>
  <si>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</si>
  <si>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</si>
  <si>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</si>
  <si>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</si>
  <si>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</si>
  <si>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</si>
  <si>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</si>
  <si>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</si>
  <si>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</si>
  <si>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</si>
  <si>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</si>
  <si>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</si>
  <si>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</si>
  <si>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</si>
  <si>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</si>
  <si>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</si>
  <si>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</si>
  <si>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</si>
  <si>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</si>
  <si>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</si>
  <si>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</si>
  <si>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</si>
  <si>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</si>
  <si>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</si>
  <si>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</si>
  <si>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</si>
  <si>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</si>
  <si>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</si>
  <si>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</si>
  <si>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</si>
  <si>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</si>
  <si>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</si>
  <si>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</si>
  <si>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</si>
  <si>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</si>
  <si>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</si>
  <si>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</si>
  <si>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</si>
  <si>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</si>
  <si>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</si>
  <si>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</si>
  <si>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</si>
  <si>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</si>
  <si>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</si>
  <si>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</si>
  <si>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</si>
  <si>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</si>
  <si>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</si>
  <si>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</si>
  <si>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</si>
  <si>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</si>
  <si>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</si>
  <si>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</si>
  <si>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</si>
  <si>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</si>
  <si>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</si>
  <si>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</si>
  <si>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</si>
  <si>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</si>
  <si>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</si>
  <si>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</si>
  <si>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</si>
  <si>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</si>
  <si>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</si>
  <si>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</si>
  <si>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</si>
  <si>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</si>
  <si>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</si>
  <si>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</si>
  <si>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</si>
  <si>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</si>
  <si>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</si>
  <si>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</si>
  <si>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</si>
  <si>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</si>
  <si>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</si>
  <si>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</si>
  <si>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</si>
  <si>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</si>
  <si>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</si>
  <si>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</si>
  <si>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</si>
  <si>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</si>
  <si>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</si>
  <si>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</si>
  <si>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</si>
  <si>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</si>
  <si>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</si>
  <si>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</si>
  <si>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</si>
  <si>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</si>
  <si>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</si>
  <si>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</si>
  <si>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</si>
  <si>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</si>
  <si>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</si>
  <si>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</si>
  <si>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</si>
  <si>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</si>
  <si>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</si>
  <si>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</si>
  <si>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</si>
  <si>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</si>
  <si>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</si>
  <si>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</si>
  <si>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</si>
  <si>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</si>
  <si>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</si>
  <si>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</si>
  <si>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</si>
  <si>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</si>
  <si>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</si>
  <si>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</si>
  <si>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</si>
  <si>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</si>
  <si>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</si>
  <si>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</si>
  <si>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</si>
  <si>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</si>
  <si>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</si>
  <si>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</si>
  <si>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</si>
  <si>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</si>
  <si>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</si>
  <si>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</si>
  <si>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</si>
  <si>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</si>
  <si>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</si>
  <si>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</si>
  <si>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</si>
  <si>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</si>
  <si>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</si>
  <si>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</si>
  <si>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</si>
  <si>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</si>
  <si>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</si>
  <si>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</si>
  <si>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</si>
  <si>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</si>
  <si>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</si>
  <si>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</si>
  <si>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</si>
  <si>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</si>
  <si>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</si>
  <si>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</si>
  <si>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</si>
  <si>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</si>
  <si>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</si>
  <si>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</si>
  <si>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</si>
  <si>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</si>
  <si>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</si>
  <si>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</si>
  <si>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</si>
  <si>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</si>
  <si>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</si>
  <si>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</si>
  <si>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</si>
  <si>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</si>
  <si>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</si>
  <si>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</si>
  <si>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</si>
  <si>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</si>
  <si>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</si>
  <si>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</si>
  <si>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</si>
  <si>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</si>
  <si>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</si>
  <si>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</si>
  <si>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</si>
  <si>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</si>
  <si>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</si>
  <si>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</si>
  <si>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</si>
  <si>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</si>
  <si>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</si>
  <si>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</si>
  <si>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</si>
  <si>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</si>
  <si>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</si>
  <si>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</si>
  <si>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</si>
  <si>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</si>
  <si>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</si>
  <si>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</si>
  <si>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</si>
  <si>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</si>
  <si>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</si>
  <si>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</si>
  <si>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</si>
  <si>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</si>
  <si>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</si>
  <si>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</si>
  <si>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</si>
  <si>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</si>
  <si>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</si>
  <si>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</si>
  <si>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</si>
  <si>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</si>
  <si>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</si>
  <si>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</si>
  <si>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</si>
  <si>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</si>
  <si>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</si>
  <si>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</si>
  <si>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</si>
  <si>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</si>
  <si>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</si>
  <si>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</si>
  <si>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</si>
  <si>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</si>
  <si>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</si>
  <si>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</si>
  <si>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</si>
  <si>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</si>
  <si>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</si>
  <si>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</si>
  <si>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</si>
  <si>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</si>
  <si>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</si>
  <si>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</si>
  <si>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</si>
  <si>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</si>
  <si>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</si>
  <si>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</si>
  <si>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</si>
  <si>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</si>
  <si>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</si>
  <si>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</si>
  <si>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</si>
  <si>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</si>
  <si>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</si>
  <si>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</si>
  <si>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</si>
  <si>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</si>
  <si>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</si>
  <si>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</si>
  <si>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</si>
  <si>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</si>
  <si>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</si>
  <si>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</si>
  <si>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</si>
  <si>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</si>
  <si>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</si>
  <si>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</si>
  <si>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</si>
  <si>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</si>
  <si>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</si>
  <si>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</si>
  <si>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</si>
  <si>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</si>
  <si>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</si>
  <si>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</si>
  <si>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</si>
  <si>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</si>
  <si>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</si>
  <si>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</si>
  <si>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</si>
  <si>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</si>
  <si>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</si>
  <si>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</si>
  <si>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</si>
  <si>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</si>
  <si>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</si>
  <si>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</si>
  <si>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</si>
  <si>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</si>
  <si>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</si>
  <si>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</si>
  <si>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</si>
  <si>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</si>
  <si>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</si>
  <si>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</si>
  <si>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</si>
  <si>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</si>
  <si>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</si>
  <si>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</si>
  <si>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</si>
  <si>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</si>
  <si>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</si>
  <si>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</si>
  <si>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</si>
  <si>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</si>
  <si>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</si>
  <si>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</si>
  <si>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</si>
  <si>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</si>
  <si>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</si>
  <si>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</si>
  <si>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</si>
  <si>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</si>
  <si>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</si>
  <si>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</si>
  <si>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</si>
  <si>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</si>
  <si>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</si>
  <si>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</si>
  <si>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</si>
  <si>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</si>
  <si>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</si>
  <si>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</si>
  <si>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</si>
  <si>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</si>
  <si>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</si>
  <si>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</si>
  <si>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</si>
  <si>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</si>
  <si>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</si>
  <si>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</si>
  <si>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</si>
  <si>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</si>
  <si>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</si>
  <si>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</si>
  <si>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</si>
  <si>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</si>
  <si>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</si>
  <si>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</si>
  <si>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</si>
  <si>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</si>
  <si>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</si>
  <si>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</si>
  <si>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</si>
  <si>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</si>
  <si>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</si>
  <si>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</si>
  <si>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</si>
  <si>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</si>
  <si>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</si>
  <si>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</si>
  <si>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</si>
  <si>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</si>
  <si>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</si>
  <si>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</si>
  <si>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</si>
  <si>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</si>
  <si>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</si>
  <si>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</si>
  <si>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</si>
  <si>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</si>
  <si>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</si>
  <si>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</si>
  <si>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</si>
  <si>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</si>
  <si>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</si>
  <si>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</si>
  <si>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</si>
  <si>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</si>
  <si>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</si>
  <si>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</si>
  <si>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</si>
  <si>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</si>
  <si>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</si>
  <si>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</si>
  <si>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</si>
  <si>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</si>
  <si>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</si>
  <si>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</si>
  <si>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</si>
  <si>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</si>
  <si>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</si>
  <si>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</si>
  <si>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</si>
  <si>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</si>
  <si>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</si>
  <si>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</si>
  <si>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</si>
  <si>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</si>
  <si>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</si>
  <si>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</si>
  <si>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</si>
  <si>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</si>
  <si>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</si>
  <si>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</si>
  <si>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</si>
  <si>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</si>
  <si>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</si>
  <si>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</si>
  <si>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</si>
  <si>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</si>
  <si>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</si>
  <si>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</si>
  <si>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</si>
  <si>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</si>
  <si>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</si>
  <si>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</si>
  <si>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</si>
  <si>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</si>
  <si>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</si>
  <si>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</si>
  <si>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</si>
  <si>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</si>
  <si>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</si>
  <si>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</si>
  <si>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</si>
  <si>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</si>
  <si>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</si>
  <si>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</si>
  <si>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</si>
  <si>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</si>
  <si>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</si>
  <si>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</si>
  <si>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</si>
  <si>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</si>
  <si>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</si>
  <si>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</si>
  <si>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</si>
  <si>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</si>
  <si>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</si>
  <si>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</si>
  <si>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</si>
  <si>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</si>
  <si>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</si>
  <si>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</si>
  <si>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</si>
  <si>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</si>
  <si>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</si>
  <si>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</si>
  <si>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</si>
  <si>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</si>
  <si>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</si>
  <si>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</si>
  <si>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</si>
  <si>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</si>
  <si>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</si>
  <si>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</si>
  <si>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</si>
  <si>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</si>
  <si>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</si>
  <si>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</si>
  <si>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</si>
  <si>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</si>
  <si>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</si>
  <si>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</si>
  <si>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</si>
  <si>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</si>
  <si>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</si>
  <si>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</si>
  <si>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</si>
  <si>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</si>
  <si>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</si>
  <si>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</si>
  <si>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</si>
  <si>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</si>
  <si>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</si>
  <si>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</si>
  <si>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</si>
  <si>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</si>
  <si>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</si>
  <si>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</si>
  <si>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</si>
  <si>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</si>
  <si>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</si>
  <si>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</si>
  <si>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</si>
  <si>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</si>
  <si>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</si>
  <si>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</si>
  <si>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</si>
  <si>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</si>
  <si>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</si>
  <si>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</si>
  <si>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</si>
  <si>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</si>
  <si>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</si>
  <si>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</si>
  <si>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</si>
  <si>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</si>
  <si>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</si>
  <si>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</si>
  <si>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</si>
  <si>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</si>
  <si>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</si>
  <si>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</si>
  <si>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</si>
  <si>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</si>
  <si>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</si>
  <si>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</si>
  <si>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</si>
  <si>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</si>
  <si>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</si>
  <si>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</si>
  <si>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</si>
  <si>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</si>
  <si>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</si>
  <si>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</si>
  <si>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</si>
  <si>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</si>
  <si>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</si>
  <si>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</si>
  <si>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</si>
  <si>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</si>
  <si>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</si>
  <si>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</si>
  <si>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</si>
  <si>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</si>
  <si>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</si>
  <si>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</si>
  <si>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</si>
  <si>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</si>
  <si>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</si>
  <si>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</si>
  <si>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</si>
  <si>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</si>
  <si>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</si>
  <si>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</si>
  <si>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</si>
  <si>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</si>
  <si>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</si>
  <si>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</si>
  <si>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</si>
  <si>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</si>
  <si>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</si>
  <si>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</si>
  <si>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</si>
  <si>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</si>
  <si>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</si>
  <si>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</si>
  <si>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</si>
  <si>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</si>
  <si>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</si>
  <si>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</si>
  <si>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</si>
  <si>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</si>
  <si>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</si>
  <si>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</si>
  <si>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</si>
  <si>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</si>
  <si>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</si>
  <si>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</si>
  <si>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</si>
  <si>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</si>
  <si>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</si>
  <si>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</si>
  <si>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</si>
  <si>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</si>
  <si>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</si>
  <si>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</si>
  <si>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</si>
  <si>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</si>
  <si>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</si>
  <si>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</si>
  <si>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</si>
  <si>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</si>
  <si>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</si>
  <si>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</si>
  <si>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</si>
  <si>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</si>
  <si>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</si>
  <si>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</si>
  <si>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</si>
  <si>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</si>
  <si>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</si>
  <si>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</si>
  <si>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</si>
  <si>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</si>
  <si>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</si>
  <si>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</si>
  <si>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</si>
  <si>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</si>
  <si>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</si>
  <si>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</si>
  <si>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</si>
  <si>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</si>
  <si>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</si>
  <si>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</si>
  <si>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</si>
  <si>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</si>
  <si>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</si>
  <si>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</si>
  <si>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</si>
  <si>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</si>
  <si>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</si>
  <si>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</si>
  <si>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</si>
  <si>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</si>
  <si>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</si>
  <si>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</si>
  <si>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</si>
  <si>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</si>
  <si>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</si>
  <si>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</si>
  <si>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</si>
  <si>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</si>
  <si>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</si>
  <si>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</si>
  <si>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</si>
  <si>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</si>
  <si>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</si>
  <si>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</si>
  <si>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</si>
  <si>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</si>
  <si>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</si>
  <si>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</si>
  <si>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</si>
  <si>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</si>
  <si>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</si>
  <si>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</si>
  <si>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</si>
  <si>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</si>
  <si>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</si>
  <si>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</si>
  <si>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</si>
  <si>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</si>
  <si>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</si>
  <si>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</si>
  <si>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</si>
  <si>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</si>
  <si>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</si>
  <si>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</si>
  <si>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</si>
  <si>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</si>
  <si>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</si>
  <si>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</si>
  <si>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</si>
  <si>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</si>
  <si>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</si>
  <si>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</si>
  <si>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</si>
  <si>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</si>
  <si>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</si>
  <si>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</si>
  <si>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</si>
  <si>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</si>
  <si>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</si>
  <si>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</si>
  <si>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</si>
  <si>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</si>
  <si>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</si>
  <si>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</si>
  <si>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</si>
  <si>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</si>
  <si>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</si>
  <si>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</si>
  <si>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</si>
  <si>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</si>
  <si>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</si>
  <si>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</si>
  <si>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</si>
  <si>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</si>
  <si>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</si>
  <si>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</si>
  <si>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</si>
  <si>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</si>
  <si>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</si>
  <si>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</si>
  <si>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</si>
  <si>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</si>
  <si>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</si>
  <si>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</si>
  <si>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</si>
  <si>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</si>
  <si>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</si>
  <si>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</si>
  <si>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</si>
  <si>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</si>
  <si>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</si>
  <si>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</si>
  <si>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</si>
  <si>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</si>
  <si>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</si>
  <si>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</si>
  <si>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</si>
  <si>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</si>
  <si>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</si>
  <si>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</si>
  <si>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</si>
  <si>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</si>
  <si>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</si>
  <si>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</si>
  <si>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</si>
  <si>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</si>
  <si>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</si>
  <si>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</si>
  <si>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</si>
  <si>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</si>
  <si>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</si>
  <si>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</si>
  <si>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</si>
  <si>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</si>
  <si>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</si>
  <si>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</si>
  <si>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</si>
  <si>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</si>
  <si>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</si>
  <si>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</si>
  <si>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</si>
  <si>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</si>
  <si>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</si>
  <si>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</si>
  <si>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</si>
  <si>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</si>
  <si>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</si>
  <si>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</si>
  <si>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</si>
  <si>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</si>
  <si>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</si>
  <si>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</si>
  <si>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</si>
  <si>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</si>
  <si>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</si>
  <si>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</si>
  <si>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</si>
  <si>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</si>
  <si>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</si>
  <si>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</si>
  <si>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</si>
  <si>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</si>
  <si>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</si>
  <si>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</si>
  <si>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</si>
  <si>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</si>
  <si>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</si>
  <si>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</si>
  <si>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</si>
  <si>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</si>
  <si>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</si>
  <si>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</si>
  <si>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</si>
  <si>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</si>
  <si>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</si>
  <si>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</si>
  <si>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</si>
  <si>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</si>
  <si>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</si>
  <si>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</si>
  <si>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</si>
  <si>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</si>
  <si>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</si>
  <si>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</si>
  <si>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</si>
  <si>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</si>
  <si>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</si>
  <si>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</si>
  <si>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</si>
  <si>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</si>
  <si>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</si>
  <si>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</si>
  <si>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</si>
  <si>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</si>
  <si>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</si>
  <si>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</si>
  <si>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</si>
  <si>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</si>
  <si>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</si>
  <si>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</si>
  <si>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</si>
  <si>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</si>
  <si>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</si>
  <si>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</si>
  <si>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</si>
  <si>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</si>
  <si>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</si>
  <si>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</si>
  <si>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</si>
  <si>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</si>
  <si>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</si>
  <si>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</si>
  <si>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</si>
  <si>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</si>
  <si>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</si>
  <si>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</si>
  <si>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</si>
  <si>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</si>
  <si>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</si>
  <si>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</si>
  <si>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</si>
  <si>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</si>
  <si>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</si>
  <si>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</si>
  <si>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</si>
  <si>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</si>
  <si>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</si>
  <si>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</si>
  <si>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</si>
  <si>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</si>
  <si>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</si>
  <si>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</si>
  <si>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</si>
  <si>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</si>
  <si>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</si>
  <si>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</si>
  <si>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</si>
  <si>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</si>
  <si>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</si>
  <si>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</si>
  <si>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</si>
  <si>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</si>
  <si>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</si>
  <si>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</si>
  <si>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</si>
  <si>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</si>
  <si>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</si>
  <si>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</si>
  <si>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</si>
  <si>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</si>
  <si>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</si>
  <si>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</si>
  <si>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</si>
  <si>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</si>
  <si>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</si>
  <si>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</si>
  <si>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</si>
  <si>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</si>
  <si>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</si>
  <si>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</si>
  <si>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</si>
  <si>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</si>
  <si>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</si>
  <si>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</si>
  <si>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</si>
  <si>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</si>
  <si>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</si>
  <si>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</si>
  <si>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</si>
  <si>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</si>
  <si>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</si>
  <si>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</si>
  <si>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</si>
  <si>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</si>
  <si>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</si>
  <si>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</si>
  <si>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</si>
  <si>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</si>
  <si>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</si>
  <si>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</si>
  <si>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</si>
  <si>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</si>
  <si>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</si>
  <si>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</si>
  <si>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</si>
  <si>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</si>
  <si>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</si>
  <si>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</si>
  <si>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</si>
  <si>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</si>
  <si>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</si>
  <si>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</si>
  <si>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</si>
  <si>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</si>
  <si>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</si>
  <si>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</si>
  <si>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</si>
  <si>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</si>
  <si>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</si>
  <si>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</si>
  <si>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</si>
  <si>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</si>
  <si>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</si>
  <si>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</si>
  <si>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</si>
  <si>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</si>
  <si>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</si>
  <si>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</si>
  <si>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</si>
  <si>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</si>
  <si>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</si>
  <si>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</si>
  <si>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</si>
  <si>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</si>
  <si>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</si>
  <si>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</si>
  <si>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</si>
  <si>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</si>
  <si>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</si>
  <si>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</si>
  <si>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</si>
  <si>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</si>
  <si>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</si>
  <si>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</si>
  <si>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</si>
  <si>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</si>
  <si>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</si>
  <si>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</si>
  <si>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</si>
  <si>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</si>
  <si>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</si>
  <si>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</si>
  <si>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</si>
  <si>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</si>
  <si>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</si>
  <si>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</si>
  <si>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</si>
  <si>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</si>
  <si>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</si>
  <si>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</si>
  <si>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</si>
  <si>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</si>
  <si>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</si>
  <si>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</si>
  <si>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</si>
  <si>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</si>
  <si>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</si>
  <si>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</si>
  <si>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</si>
  <si>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</si>
  <si>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</si>
  <si>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</si>
  <si>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</si>
  <si>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</si>
  <si>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</si>
  <si>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</si>
  <si>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</si>
  <si>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</si>
  <si>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</si>
  <si>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</si>
  <si>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</si>
  <si>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</si>
  <si>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</si>
  <si>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</si>
  <si>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</si>
  <si>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</si>
  <si>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</si>
  <si>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</si>
  <si>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</si>
  <si>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</si>
  <si>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</si>
  <si>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</si>
  <si>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</si>
  <si>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</si>
  <si>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</si>
  <si>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</si>
  <si>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</si>
  <si>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</si>
  <si>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</si>
  <si>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</si>
  <si>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</si>
  <si>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</si>
  <si>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</si>
  <si>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</si>
  <si>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</si>
  <si>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</si>
  <si>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</si>
  <si>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</si>
  <si>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</si>
  <si>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</si>
  <si>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</si>
  <si>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</si>
  <si>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</si>
  <si>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</si>
  <si>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</si>
  <si>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</si>
  <si>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</si>
  <si>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</si>
  <si>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</si>
  <si>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</si>
  <si>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</si>
  <si>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</si>
  <si>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</si>
  <si>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</si>
  <si>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</si>
  <si>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</si>
  <si>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</si>
  <si>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</si>
  <si>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</si>
  <si>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</si>
  <si>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</si>
  <si>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</si>
  <si>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</si>
  <si>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</si>
  <si>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</si>
  <si>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</si>
  <si>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</si>
  <si>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</si>
  <si>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</si>
  <si>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</si>
  <si>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</si>
  <si>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</si>
  <si>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</si>
  <si>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</si>
  <si>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</si>
  <si>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</si>
  <si>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</si>
  <si>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</si>
  <si>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</si>
  <si>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</si>
  <si>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</si>
  <si>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</si>
  <si>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</si>
  <si>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</si>
  <si>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</si>
  <si>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</si>
  <si>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</si>
  <si>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</si>
  <si>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</si>
  <si>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</si>
  <si>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</si>
  <si>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</si>
  <si>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</si>
  <si>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</si>
  <si>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</si>
  <si>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</si>
  <si>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</si>
  <si>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</si>
  <si>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</si>
  <si>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</si>
  <si>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</si>
  <si>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</si>
  <si>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</si>
  <si>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</si>
  <si>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</si>
  <si>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</si>
  <si>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</si>
  <si>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</si>
  <si>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</si>
  <si>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</si>
  <si>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</si>
  <si>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</si>
  <si>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</si>
  <si>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</si>
  <si>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</si>
  <si>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</si>
  <si>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</si>
  <si>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</si>
  <si>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</si>
  <si>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</si>
  <si>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</si>
  <si>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</si>
  <si>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</si>
  <si>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</si>
  <si>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</si>
  <si>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</si>
  <si>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</si>
  <si>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</si>
  <si>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</si>
  <si>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</si>
  <si>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</si>
  <si>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</si>
  <si>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</si>
  <si>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</si>
  <si>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</si>
  <si>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</si>
  <si>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</si>
  <si>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</si>
  <si>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</si>
  <si>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</si>
  <si>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</si>
  <si>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</si>
  <si>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</si>
  <si>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</si>
  <si>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</si>
  <si>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</si>
  <si>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</si>
  <si>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</si>
  <si>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</si>
  <si>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</si>
  <si>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</si>
  <si>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</si>
  <si>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</si>
  <si>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</si>
  <si>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</si>
  <si>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</si>
  <si>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</si>
  <si>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</si>
  <si>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</si>
  <si>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</si>
  <si>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</si>
  <si>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</si>
  <si>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</si>
  <si>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</si>
  <si>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</si>
  <si>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</si>
  <si>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</si>
  <si>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</si>
  <si>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</si>
  <si>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</si>
  <si>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</si>
  <si>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</si>
  <si>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</si>
  <si>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</si>
  <si>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</si>
  <si>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</si>
  <si>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</si>
  <si>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</si>
  <si>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</si>
  <si>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</si>
  <si>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</si>
  <si>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Execução de solda  linha principal</t>
  </si>
  <si>
    <t>Inspeção de auto, 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</si>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</sst>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8" borderId="13" xfId="0" applyFont="1" applyFill="1" applyBorder="1" applyAlignment="1" applyProtection="1">
      <alignment horizontal="center" vertical="center"/>
      <protection locked="0"/>
    </xf>
    <xf numFmtId="1" fontId="15" fillId="38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topLeftCell="O463" activePane="topRight" state="frozen"/>
      <selection pane="topRight" activeCell="W479" sqref="W4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70" t="s">
        <v>1895</v>
      </c>
      <c r="BK455" s="178" t="s">
        <v>1896</v>
      </c>
      <c r="BL455" s="177"/>
      <c r="BM455" s="173"/>
      <c r="BN455" s="173"/>
      <c r="BO455" s="203"/>
      <c r="BP455" s="179"/>
      <c r="BQ455" s="12" t="str">
        <f t="shared" si="11"/>
        <v>Produção</v>
      </c>
      <c r="BR455" s="18">
        <f t="shared" si="12"/>
        <v>1.5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/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e">
        <f t="shared" si="11"/>
        <v>#DIV/0!</v>
      </c>
      <c r="BR469" s="18">
        <f t="shared" si="12"/>
        <v>0</v>
      </c>
      <c r="BS469" s="18" t="e">
        <f t="shared" si="13"/>
        <v>#DIV/0!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/>
      <c r="I471" s="158"/>
      <c r="J471" s="219">
        <v>98</v>
      </c>
      <c r="K471" s="219">
        <v>713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/>
      <c r="P471" s="158"/>
      <c r="Q471" s="171"/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713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e">
        <f t="shared" si="11"/>
        <v>#DIV/0!</v>
      </c>
      <c r="BR471" s="18" t="e">
        <f t="shared" si="12"/>
        <v>#DIV/0!</v>
      </c>
      <c r="BS471" s="18" t="e">
        <f t="shared" si="13"/>
        <v>#DIV/0!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>W7046051</v>
      </c>
      <c r="B473" s="162">
        <v>46051</v>
      </c>
      <c r="C473" s="8">
        <f>IF(BS_CONTROLE[[#This Row],[DATA]]="","",WEEKNUM(BS_CONTROLE[[#This Row],[DATA]]))</f>
        <v>5</v>
      </c>
      <c r="D473" s="51" t="s">
        <v>847</v>
      </c>
      <c r="E473" s="289">
        <v>574</v>
      </c>
      <c r="F473" s="166" t="s">
        <v>785</v>
      </c>
      <c r="G473" s="154" t="str">
        <f>IF(D473="","*",VLOOKUP(F473,BS_ATIVIDADE[#All],3,FALSE))</f>
        <v>PEDRA</v>
      </c>
      <c r="H473" s="158"/>
      <c r="I473" s="158"/>
      <c r="J473" s="219">
        <v>98</v>
      </c>
      <c r="K473" s="415">
        <v>710</v>
      </c>
      <c r="L473" s="416">
        <v>708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3" s="193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3" s="158"/>
      <c r="P473" s="158"/>
      <c r="Q473" s="171"/>
      <c r="R473" s="10" t="str">
        <f>IFERROR(_xlfn.XLOOKUP(F473, BS_ATIVIDADE[ATIVIDADE],BS_ATIVIDADE[UNIDADE] ), "*")</f>
        <v>VAGÕES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3" s="155" t="str">
        <f>IFERROR(_xlfn.XLOOKUP(J473, BASE_MAPA!$E$2:$E$359, BASE_MAPA!$J$2:$J$359), "ERRO")</f>
        <v>ALTO ARAGUAIA - RONDONOPOLIS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PEDRA - DESCARGA</v>
      </c>
      <c r="AJ473" s="9" t="str">
        <f>IF(D473="","*",VLOOKUP(AI473,BS_ATIVIDADE[#Data],3,FALSE))</f>
        <v>PEDRA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TAL-TSF</v>
      </c>
      <c r="AN473" s="283">
        <f>IF(BS_CONTROLE[[#This Row],[SB]]=0, "-", BS_CONTROLE[[#This Row],[SB]])</f>
        <v>699710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710</v>
      </c>
      <c r="AQ473" s="268">
        <f>IF(BS_CONTROLE[[#This Row],[KM - Fim]]=0, "-", BS_CONTROLE[[#This Row],[KM - Fim]])</f>
        <v>708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VAGÕES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e">
        <f t="shared" si="11"/>
        <v>#DIV/0!</v>
      </c>
      <c r="BR473" s="18" t="e">
        <f t="shared" si="12"/>
        <v>#DIV/0!</v>
      </c>
      <c r="BS473" s="18" t="e">
        <f t="shared" si="13"/>
        <v>#DIV/0!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>ELSON (TF-526)46051</v>
      </c>
      <c r="B475" s="162">
        <v>46051</v>
      </c>
      <c r="C475" s="8">
        <f>IF(BS_CONTROLE[[#This Row],[DATA]]="","",WEEKNUM(BS_CONTROLE[[#This Row],[DATA]]))</f>
        <v>5</v>
      </c>
      <c r="D475" s="51" t="s">
        <v>898</v>
      </c>
      <c r="E475" s="289">
        <v>576</v>
      </c>
      <c r="F475" s="166" t="s">
        <v>792</v>
      </c>
      <c r="G475" s="154" t="str">
        <f>IF(D475="","*",VLOOKUP(F475,BS_ATIVIDADE[#All],3,FALSE))</f>
        <v>SOLDA</v>
      </c>
      <c r="H475" s="158" t="s">
        <v>566</v>
      </c>
      <c r="I475" s="158" t="s">
        <v>609</v>
      </c>
      <c r="J475" s="219">
        <v>74</v>
      </c>
      <c r="K475" s="219">
        <v>403.13</v>
      </c>
      <c r="L475" s="171" t="s">
        <v>609</v>
      </c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5" s="158">
        <v>0.375</v>
      </c>
      <c r="P475" s="158">
        <v>8.3333333333333329E-2</v>
      </c>
      <c r="Q475" s="171">
        <v>1</v>
      </c>
      <c r="R475" s="10" t="str">
        <f>IFERROR(_xlfn.XLOOKUP(F475, BS_ATIVIDADE[ATIVIDADE],BS_ATIVIDADE[UNIDADE] ), "*")</f>
        <v>Nº DE SOLDA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5" s="155" t="str">
        <f>IFERROR(_xlfn.XLOOKUP(J475, BASE_MAPA!$E$2:$E$359, BASE_MAPA!$J$2:$J$359), "ERRO")</f>
        <v>MARCO INICIAL - ALTO ARAGUAIA</v>
      </c>
      <c r="V475" s="282" t="s">
        <v>1677</v>
      </c>
      <c r="W475" s="335" t="s">
        <v>1917</v>
      </c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PDM - SOLDA</v>
      </c>
      <c r="AJ475" s="9" t="str">
        <f>IF(D475="","*",VLOOKUP(AI475,BS_ATIVIDADE[#Data],3,FALSE))</f>
        <v>SOLDA</v>
      </c>
      <c r="AK475" s="283" t="str">
        <f>IF(BS_CONTROLE[[#This Row],[Local - Partida]]=0, "-", BS_CONTROLE[[#This Row],[Local - Partida]])</f>
        <v>TMT1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TMT</v>
      </c>
      <c r="AN475" s="283" t="str">
        <f>IF(BS_CONTROLE[[#This Row],[SB]]=0, "-", BS_CONTROLE[[#This Row],[SB]])</f>
        <v>TMT1</v>
      </c>
      <c r="AO475" s="267">
        <f>IF(BS_CONTROLE[[#This Row],[SUB]]=0, "-", BS_CONTROLE[[#This Row],[SUB]])</f>
        <v>74</v>
      </c>
      <c r="AP475" s="268">
        <f>IF(BS_CONTROLE[[#This Row],[KM - Inicio]]=0, "-", BS_CONTROLE[[#This Row],[KM - Inicio]])</f>
        <v>403.13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>
        <f t="shared" si="10"/>
        <v>0</v>
      </c>
      <c r="AZ475" s="156"/>
      <c r="BA475" s="176"/>
      <c r="BB475" s="172" t="str">
        <f>IFERROR(_xlfn.XLOOKUP(AI475, BS_ATIVIDADE[ATIVIDADE],BS_ATIVIDADE[UNIDADE] ), "*")</f>
        <v>Nº DE SOLDA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5" s="157" t="str">
        <f>IFERROR(_xlfn.XLOOKUP(AO475, BASE_MAPA!$E$2:$E$359, BASE_MAPA!$J$2:$J$359), "ERRO")</f>
        <v>MARCO INICIAL - ALTO ARAGUAIA</v>
      </c>
      <c r="BF475" s="269" t="str">
        <f>IF(BS_CONTROLE[[#This Row],[Responsavel pelo boletim]]=0, "-", BS_CONTROLE[[#This Row],[Responsavel pelo boletim]])</f>
        <v>Elton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Produção e Intervalo</v>
      </c>
      <c r="BR475" s="18">
        <f t="shared" si="12"/>
        <v>0</v>
      </c>
      <c r="BS475" s="18">
        <f t="shared" si="13"/>
        <v>0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6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>W5046051</v>
      </c>
      <c r="B478" s="162">
        <v>46051</v>
      </c>
      <c r="C478" s="8">
        <f>IF(BS_CONTROLE[[#This Row],[DATA]]="","",WEEKNUM(BS_CONTROLE[[#This Row],[DATA]]))</f>
        <v>5</v>
      </c>
      <c r="D478" s="51" t="s">
        <v>838</v>
      </c>
      <c r="E478" s="289">
        <v>579</v>
      </c>
      <c r="F478" s="166" t="s">
        <v>747</v>
      </c>
      <c r="G478" s="154" t="str">
        <f>IF(D478="","*",VLOOKUP(F478,BS_ATIVIDADE[#All],3,FALSE))</f>
        <v>MODERNIZAÇÃO</v>
      </c>
      <c r="H478" s="158" t="s">
        <v>264</v>
      </c>
      <c r="I478" s="158" t="s">
        <v>264</v>
      </c>
      <c r="J478" s="219">
        <v>74</v>
      </c>
      <c r="K478" s="219">
        <v>245.8</v>
      </c>
      <c r="L478" s="171">
        <v>244.8</v>
      </c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8" s="193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8" s="158">
        <v>0.35416666666666669</v>
      </c>
      <c r="P478" s="158">
        <v>0.125</v>
      </c>
      <c r="Q478" s="171">
        <v>500</v>
      </c>
      <c r="R478" s="10" t="str">
        <f>IFERROR(_xlfn.XLOOKUP(F478, BS_ATIVIDADE[ATIVIDADE],BS_ATIVIDADE[UNIDADE] ), "*")</f>
        <v>Nº DE DORMENTES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8" s="155" t="str">
        <f>IFERROR(_xlfn.XLOOKUP(J478, BASE_MAPA!$E$2:$E$359, BASE_MAPA!$J$2:$J$359), "ERRO")</f>
        <v>MARCO INICIAL - ALTO ARAGUAIA</v>
      </c>
      <c r="V478" s="282" t="s">
        <v>1857</v>
      </c>
      <c r="W478" s="335" t="s">
        <v>1858</v>
      </c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MODERNIZAÇÃO - RECOLHIMENTO DE DORMENTE</v>
      </c>
      <c r="AJ478" s="9" t="str">
        <f>IF(D478="","*",VLOOKUP(AI478,BS_ATIVIDADE[#Data],3,FALSE))</f>
        <v>MODERNIZAÇÃO</v>
      </c>
      <c r="AK478" s="283" t="str">
        <f>IF(BS_CONTROLE[[#This Row],[Local - Partida]]=0, "-", BS_CONTROLE[[#This Row],[Local - Partida]])</f>
        <v>TCS</v>
      </c>
      <c r="AL478" s="283" t="str">
        <f>IF(BS_CONTROLE[[#This Row],[Local - Encerramento]]=0, "-", BS_CONTROLE[[#This Row],[Local - Encerramento]])</f>
        <v>TCS</v>
      </c>
      <c r="AM478" s="283" t="str">
        <f>IF(BS_CONTROLE[[#This Row],[Entre - Estações]]=0, "-", BS_CONTROLE[[#This Row],[Entre - Estações]])</f>
        <v>TVI-TJA</v>
      </c>
      <c r="AN478" s="283">
        <f>IF(BS_CONTROLE[[#This Row],[SB]]=0, "-", BS_CONTROLE[[#This Row],[SB]])</f>
        <v>239251</v>
      </c>
      <c r="AO478" s="267">
        <f>IF(BS_CONTROLE[[#This Row],[SUB]]=0, "-", BS_CONTROLE[[#This Row],[SUB]])</f>
        <v>74</v>
      </c>
      <c r="AP478" s="268">
        <f>IF(BS_CONTROLE[[#This Row],[KM - Inicio]]=0, "-", BS_CONTROLE[[#This Row],[KM - Inicio]])</f>
        <v>245.8</v>
      </c>
      <c r="AQ478" s="268">
        <f>IF(BS_CONTROLE[[#This Row],[KM - Fim]]=0, "-", BS_CONTROLE[[#This Row],[KM - Fim]])</f>
        <v>244.8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Nº DE DORMENTES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8" s="157" t="str">
        <f>IFERROR(_xlfn.XLOOKUP(AO478, BASE_MAPA!$E$2:$E$359, BASE_MAPA!$J$2:$J$359), "ERRO")</f>
        <v>MARCO INICIAL - ALTO ARAGUAIA</v>
      </c>
      <c r="BF478" s="269" t="str">
        <f>IF(BS_CONTROLE[[#This Row],[Responsavel pelo boletim]]=0, "-", BS_CONTROLE[[#This Row],[Responsavel pelo boletim]])</f>
        <v>Augusto / Efraim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6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>A6246051</v>
      </c>
      <c r="B480" s="162">
        <v>46051</v>
      </c>
      <c r="C480" s="8">
        <f>IF(BS_CONTROLE[[#This Row],[DATA]]="","",WEEKNUM(BS_CONTROLE[[#This Row],[DATA]]))</f>
        <v>5</v>
      </c>
      <c r="D480" s="51" t="s">
        <v>708</v>
      </c>
      <c r="E480" s="290">
        <v>581</v>
      </c>
      <c r="F480" s="166" t="s">
        <v>683</v>
      </c>
      <c r="G480" s="154" t="str">
        <f>IF(D480="","*",VLOOKUP(F480,BS_ATIVIDADE[#All],3,FALSE))</f>
        <v>OUTROS</v>
      </c>
      <c r="H480" s="158" t="s">
        <v>228</v>
      </c>
      <c r="I480" s="158" t="s">
        <v>252</v>
      </c>
      <c r="J480" s="219">
        <v>74</v>
      </c>
      <c r="K480" s="219">
        <v>109</v>
      </c>
      <c r="L480" s="171">
        <v>226</v>
      </c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80" s="158">
        <v>0.35416666666666669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0" s="155" t="str">
        <f>IFERROR(_xlfn.XLOOKUP(J480, BASE_MAPA!$E$2:$E$359, BASE_MAPA!$J$2:$J$359), "ERRO")</f>
        <v>MARCO INICIAL - ALTO ARAGUAIA</v>
      </c>
      <c r="V480" s="282" t="s">
        <v>1285</v>
      </c>
      <c r="W480" s="335" t="s">
        <v>1918</v>
      </c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INSPEÇÃO AUTO DE LINHA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TIN</v>
      </c>
      <c r="AL480" s="283" t="str">
        <f>IF(BS_CONTROLE[[#This Row],[Local - Encerramento]]=0, "-", BS_CONTROLE[[#This Row],[Local - Encerramento]])</f>
        <v>TVI</v>
      </c>
      <c r="AM480" s="283" t="str">
        <f>IF(BS_CONTROLE[[#This Row],[Entre - Estações]]=0, "-", BS_CONTROLE[[#This Row],[Entre - Estações]])</f>
        <v>TIN</v>
      </c>
      <c r="AN480" s="283" t="str">
        <f>IF(BS_CONTROLE[[#This Row],[SB]]=0, "-", BS_CONTROLE[[#This Row],[SB]])</f>
        <v>TIN1</v>
      </c>
      <c r="AO480" s="267">
        <f>IF(BS_CONTROLE[[#This Row],[SUB]]=0, "-", BS_CONTROLE[[#This Row],[SUB]])</f>
        <v>74</v>
      </c>
      <c r="AP480" s="268">
        <f>IF(BS_CONTROLE[[#This Row],[KM - Inicio]]=0, "-", BS_CONTROLE[[#This Row],[KM - Inicio]])</f>
        <v>109</v>
      </c>
      <c r="AQ480" s="268">
        <f>IF(BS_CONTROLE[[#This Row],[KM - Fim]]=0, "-", BS_CONTROLE[[#This Row],[KM - Fim]])</f>
        <v>226</v>
      </c>
      <c r="AR480" s="284"/>
      <c r="AS480" s="284"/>
      <c r="AT480" s="284"/>
      <c r="AU480" s="285"/>
      <c r="AV480" s="285"/>
      <c r="AW480" s="285"/>
      <c r="AX480" s="175"/>
      <c r="AY480" s="288">
        <f t="shared" si="10"/>
        <v>0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0" s="157" t="str">
        <f>IFERROR(_xlfn.XLOOKUP(AO480, BASE_MAPA!$E$2:$E$359, BASE_MAPA!$J$2:$J$359), "ERRO")</f>
        <v>MARCO INICIAL - ALTO ARAGUAIA</v>
      </c>
      <c r="BF480" s="269" t="str">
        <f>IF(BS_CONTROLE[[#This Row],[Responsavel pelo boletim]]=0, "-", BS_CONTROLE[[#This Row],[Responsavel pelo boletim]])</f>
        <v>Herbert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Produção e Intervalo</v>
      </c>
      <c r="BR480" s="18">
        <f t="shared" si="12"/>
        <v>0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6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475:F481 F471 F473 F6:F469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1919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1920</v>
      </c>
      <c r="E3" s="291" t="s">
        <v>1921</v>
      </c>
      <c r="F3" s="291" t="s">
        <v>1922</v>
      </c>
      <c r="G3" s="291" t="s">
        <v>1923</v>
      </c>
      <c r="H3" s="291" t="s">
        <v>1924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1925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1926</v>
      </c>
      <c r="G10" s="292" t="s">
        <v>1927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1928</v>
      </c>
      <c r="G11" s="292" t="s">
        <v>1929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1930</v>
      </c>
      <c r="G12" s="292" t="s">
        <v>1929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1931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1932</v>
      </c>
      <c r="C4" s="296" t="s">
        <v>1933</v>
      </c>
      <c r="D4" s="296" t="s">
        <v>1934</v>
      </c>
      <c r="E4" s="296" t="s">
        <v>1935</v>
      </c>
      <c r="F4" s="296" t="s">
        <v>7</v>
      </c>
      <c r="G4" s="296" t="s">
        <v>1936</v>
      </c>
      <c r="H4" s="181"/>
    </row>
    <row r="5" spans="1:8">
      <c r="A5" s="181"/>
      <c r="B5" s="297" t="s">
        <v>1937</v>
      </c>
      <c r="C5" s="297">
        <v>309525</v>
      </c>
      <c r="D5" s="297" t="s">
        <v>1938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1939</v>
      </c>
      <c r="C6" s="297">
        <v>257410</v>
      </c>
      <c r="D6" s="297" t="s">
        <v>1940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1941</v>
      </c>
      <c r="C7" s="297">
        <v>256875</v>
      </c>
      <c r="D7" s="297" t="s">
        <v>1942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1943</v>
      </c>
      <c r="C8" s="297">
        <v>257278</v>
      </c>
      <c r="D8" s="297" t="s">
        <v>1944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1945</v>
      </c>
      <c r="C9" s="297">
        <v>261794</v>
      </c>
      <c r="D9" s="297" t="s">
        <v>1946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1947</v>
      </c>
      <c r="C10" s="297">
        <v>257033</v>
      </c>
      <c r="D10" s="297" t="s">
        <v>1948</v>
      </c>
      <c r="E10" s="297" t="s">
        <v>838</v>
      </c>
      <c r="F10" s="297" t="s">
        <v>194</v>
      </c>
      <c r="G10" s="297" t="s">
        <v>1949</v>
      </c>
      <c r="H10" s="181"/>
    </row>
    <row r="11" spans="1:8">
      <c r="A11" s="181"/>
      <c r="B11" s="297" t="s">
        <v>1950</v>
      </c>
      <c r="C11" s="297">
        <v>396578</v>
      </c>
      <c r="D11" s="297" t="s">
        <v>1951</v>
      </c>
      <c r="E11" s="297" t="s">
        <v>838</v>
      </c>
      <c r="F11" s="297" t="s">
        <v>194</v>
      </c>
      <c r="G11" s="297" t="s">
        <v>1949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1952</v>
      </c>
      <c r="W1" s="406"/>
      <c r="X1" s="406"/>
      <c r="Y1" s="103"/>
    </row>
    <row r="2" spans="1:25" s="100" customFormat="1" ht="11.25" customHeight="1">
      <c r="A2" s="104" t="s">
        <v>1953</v>
      </c>
      <c r="B2" s="104" t="s">
        <v>1954</v>
      </c>
      <c r="C2" s="104" t="s">
        <v>605</v>
      </c>
      <c r="D2" s="105" t="s">
        <v>1178</v>
      </c>
      <c r="E2" s="105" t="s">
        <v>1179</v>
      </c>
      <c r="F2" s="105" t="s">
        <v>1955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1956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TAL-TSF</v>
      </c>
      <c r="L468" s="303" t="str">
        <f>IF(FN_MC!N471="","*",FN_MC!N471)</f>
        <v>710TSF</v>
      </c>
      <c r="M468" s="110">
        <f>IF(FN_MC!J471="","*",FN_MC!J471)</f>
        <v>98</v>
      </c>
      <c r="N468" s="278">
        <f>IF(FN_MC!K471="","*",FN_MC!K471)</f>
        <v>713</v>
      </c>
      <c r="O468" s="278">
        <f>IF(FN_MC!L471="","*",FN_MC!L471)</f>
        <v>716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W70</v>
      </c>
      <c r="H470" s="109" t="str">
        <f>IF(FN_MC!F473="","*",FN_MC!F473)</f>
        <v>PDM - PEDRA - DESCARGA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TAL-TSF</v>
      </c>
      <c r="L470" s="303">
        <f>IF(FN_MC!N473="","*",FN_MC!N473)</f>
        <v>699710</v>
      </c>
      <c r="M470" s="110">
        <f>IF(FN_MC!J473="","*",FN_MC!J473)</f>
        <v>98</v>
      </c>
      <c r="N470" s="278">
        <f>IF(FN_MC!K473="","*",FN_MC!K473)</f>
        <v>710</v>
      </c>
      <c r="O470" s="278">
        <f>IF(FN_MC!L473="","*",FN_MC!L473)</f>
        <v>708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>
        <f ca="1">_xlfn.XLOOKUP(G470&amp;$V$2,BS_CONTROLE[CHAVE],BS_CONTROLE[Quantidade_11],"-")</f>
        <v>27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FERRONORTE</v>
      </c>
      <c r="E472" s="109" t="str">
        <f>IF(FN_MC!T475="","*",FN_MC!T475)</f>
        <v>TCS-TGR</v>
      </c>
      <c r="F472" s="109">
        <f>IF(FN_MC!B475="","*",FN_MC!B475)</f>
        <v>46051</v>
      </c>
      <c r="G472" s="109" t="str">
        <f>IF(FN_MC!D475="","*",FN_MC!D475)</f>
        <v>ELSON (TF-526)</v>
      </c>
      <c r="H472" s="109" t="str">
        <f>IF(FN_MC!F475="","*",FN_MC!F475)</f>
        <v>PDM - SOLDA</v>
      </c>
      <c r="I472" s="109" t="str">
        <f>IF(FN_MC!H475="","*",FN_MC!H475)</f>
        <v>TMT1</v>
      </c>
      <c r="J472" s="109" t="str">
        <f>IF(FN_MC!I475="","*",FN_MC!I475)</f>
        <v>-</v>
      </c>
      <c r="K472" s="109" t="str">
        <f>IF(FN_MC!M475="","*",FN_MC!M475)</f>
        <v>TMT</v>
      </c>
      <c r="L472" s="303" t="str">
        <f>IF(FN_MC!N475="","*",FN_MC!N475)</f>
        <v>TMT1</v>
      </c>
      <c r="M472" s="110">
        <f>IF(FN_MC!J475="","*",FN_MC!J475)</f>
        <v>74</v>
      </c>
      <c r="N472" s="278">
        <f>IF(FN_MC!K475="","*",FN_MC!K475)</f>
        <v>403.13</v>
      </c>
      <c r="O472" s="278" t="str">
        <f>IF(FN_MC!L475="","*",FN_MC!L475)</f>
        <v>-</v>
      </c>
      <c r="P472" s="110"/>
      <c r="Q472" s="127">
        <f>IF(FN_MC!O475="","*",FN_MC!O475)</f>
        <v>0.375</v>
      </c>
      <c r="R472" s="127">
        <f>IF(FN_MC!P475="","*",FN_MC!P475)</f>
        <v>8.3333333333333329E-2</v>
      </c>
      <c r="S472" s="109" t="str">
        <f>IF(FN_MC!Q475="","*",CONCATENATE(FN_MC!Q475," ",FN_MC!R475))</f>
        <v>1 Nº DE SOLDA</v>
      </c>
      <c r="T472" s="109" t="str">
        <f>IF(FN_MC!V475="","*",FN_MC!V475)</f>
        <v>Elton</v>
      </c>
      <c r="U472" s="109" t="str">
        <f>IF(FN_MC!W475="","*",FN_MC!W475)</f>
        <v>Execução de solda  linha principal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FERRONORTE</v>
      </c>
      <c r="E475" s="109" t="str">
        <f>IF(FN_MC!T478="","*",FN_MC!T478)</f>
        <v>TMI-TCS</v>
      </c>
      <c r="F475" s="109">
        <f>IF(FN_MC!B478="","*",FN_MC!B478)</f>
        <v>46051</v>
      </c>
      <c r="G475" s="109" t="str">
        <f>IF(FN_MC!D478="","*",FN_MC!D478)</f>
        <v>W50</v>
      </c>
      <c r="H475" s="109" t="str">
        <f>IF(FN_MC!F478="","*",FN_MC!F478)</f>
        <v>MODERNIZAÇÃO - RECOLHIMENTO DE DORMENTE</v>
      </c>
      <c r="I475" s="109" t="str">
        <f>IF(FN_MC!H478="","*",FN_MC!H478)</f>
        <v>TCS</v>
      </c>
      <c r="J475" s="109" t="str">
        <f>IF(FN_MC!I478="","*",FN_MC!I478)</f>
        <v>TCS</v>
      </c>
      <c r="K475" s="109" t="str">
        <f>IF(FN_MC!M478="","*",FN_MC!M478)</f>
        <v>TVI-TJA</v>
      </c>
      <c r="L475" s="303">
        <f>IF(FN_MC!N478="","*",FN_MC!N478)</f>
        <v>239251</v>
      </c>
      <c r="M475" s="110">
        <f>IF(FN_MC!J478="","*",FN_MC!J478)</f>
        <v>74</v>
      </c>
      <c r="N475" s="278">
        <f>IF(FN_MC!K478="","*",FN_MC!K478)</f>
        <v>245.8</v>
      </c>
      <c r="O475" s="278">
        <f>IF(FN_MC!L478="","*",FN_MC!L478)</f>
        <v>244.8</v>
      </c>
      <c r="P475" s="110"/>
      <c r="Q475" s="127">
        <f>IF(FN_MC!O478="","*",FN_MC!O478)</f>
        <v>0.35416666666666669</v>
      </c>
      <c r="R475" s="127">
        <f>IF(FN_MC!P478="","*",FN_MC!P478)</f>
        <v>0.125</v>
      </c>
      <c r="S475" s="109" t="str">
        <f>IF(FN_MC!Q478="","*",CONCATENATE(FN_MC!Q478," ",FN_MC!R478))</f>
        <v>500 Nº DE DORMENTES</v>
      </c>
      <c r="T475" s="109" t="str">
        <f>IF(FN_MC!V478="","*",FN_MC!V478)</f>
        <v>Augusto / Efraim</v>
      </c>
      <c r="U475" s="109" t="str">
        <f>IF(FN_MC!W478="","*",FN_MC!W478)</f>
        <v>Recolhimento de dormentes</v>
      </c>
      <c r="V475" s="111">
        <f ca="1">_xlfn.XLOOKUP(G475&amp;$V$2,BS_CONTROLE[CHAVE],BS_CONTROLE[Quantidade_11],"-")</f>
        <v>624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FERRONORTE</v>
      </c>
      <c r="E477" s="109" t="str">
        <f>IF(FN_MC!T480="","*",FN_MC!T480)</f>
        <v>TMI-TCS</v>
      </c>
      <c r="F477" s="109">
        <f>IF(FN_MC!B480="","*",FN_MC!B480)</f>
        <v>46051</v>
      </c>
      <c r="G477" s="109" t="str">
        <f>IF(FN_MC!D480="","*",FN_MC!D480)</f>
        <v>A62</v>
      </c>
      <c r="H477" s="109" t="str">
        <f>IF(FN_MC!F480="","*",FN_MC!F480)</f>
        <v>INSPEÇÃO AUTO DE LINHA</v>
      </c>
      <c r="I477" s="109" t="str">
        <f>IF(FN_MC!H480="","*",FN_MC!H480)</f>
        <v>TIN</v>
      </c>
      <c r="J477" s="109" t="str">
        <f>IF(FN_MC!I480="","*",FN_MC!I480)</f>
        <v>TVI</v>
      </c>
      <c r="K477" s="109" t="str">
        <f>IF(FN_MC!M480="","*",FN_MC!M480)</f>
        <v>TIN</v>
      </c>
      <c r="L477" s="303" t="str">
        <f>IF(FN_MC!N480="","*",FN_MC!N480)</f>
        <v>TIN1</v>
      </c>
      <c r="M477" s="110">
        <f>IF(FN_MC!J480="","*",FN_MC!J480)</f>
        <v>74</v>
      </c>
      <c r="N477" s="278">
        <f>IF(FN_MC!K480="","*",FN_MC!K480)</f>
        <v>109</v>
      </c>
      <c r="O477" s="278">
        <f>IF(FN_MC!L480="","*",FN_MC!L480)</f>
        <v>226</v>
      </c>
      <c r="P477" s="110"/>
      <c r="Q477" s="127">
        <f>IF(FN_MC!O480="","*",FN_MC!O480)</f>
        <v>0.35416666666666669</v>
      </c>
      <c r="R477" s="127">
        <f>IF(FN_MC!P480="","*",FN_MC!P480)</f>
        <v>4.1666666666666664E-2</v>
      </c>
      <c r="S477" s="109" t="str">
        <f>IF(FN_MC!Q480="","*",CONCATENATE(FN_MC!Q480," ",FN_MC!R480))</f>
        <v>1 BINÁRIO</v>
      </c>
      <c r="T477" s="109" t="str">
        <f>IF(FN_MC!V480="","*",FN_MC!V480)</f>
        <v>Herbert</v>
      </c>
      <c r="U477" s="109" t="str">
        <f>IF(FN_MC!W480="","*",FN_MC!W480)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1957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1958</v>
      </c>
      <c r="C2" s="95" t="s">
        <v>1163</v>
      </c>
      <c r="D2" s="95" t="s">
        <v>1165</v>
      </c>
      <c r="E2" s="95" t="s">
        <v>1959</v>
      </c>
      <c r="F2" s="95" t="s">
        <v>1960</v>
      </c>
      <c r="G2" s="95" t="s">
        <v>1961</v>
      </c>
      <c r="H2" s="95" t="s">
        <v>1962</v>
      </c>
      <c r="I2" s="95" t="s">
        <v>1963</v>
      </c>
      <c r="J2" s="95" t="s">
        <v>1964</v>
      </c>
      <c r="K2" s="130" t="s">
        <v>1965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*</v>
      </c>
      <c r="F576" s="136" t="str">
        <f>IF(FN_MC!M471="","*",FN_MC!M471)</f>
        <v>TAL-TSF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>
        <f>IF(FN_MC!B473="","*",FN_MC!B473)</f>
        <v>46051</v>
      </c>
      <c r="D578" s="120" t="str">
        <f>IF(FN_MC!D473="","*",FN_MC!D473)</f>
        <v>W70</v>
      </c>
      <c r="E578" s="120" t="str">
        <f>IF(FN_MC!H473="","*",FN_MC!H473)</f>
        <v>*</v>
      </c>
      <c r="F578" s="136" t="str">
        <f>IF(FN_MC!M473="","*",FN_MC!M473)</f>
        <v>TAL-TSF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>
        <f>IF(FN_MC!B475="","*",FN_MC!B475)</f>
        <v>46051</v>
      </c>
      <c r="D580" s="120" t="str">
        <f>IF(FN_MC!D475="","*",FN_MC!D475)</f>
        <v>ELSON (TF-526)</v>
      </c>
      <c r="E580" s="120" t="str">
        <f>IF(FN_MC!H475="","*",FN_MC!H475)</f>
        <v>TMT1</v>
      </c>
      <c r="F580" s="136" t="str">
        <f>IF(FN_MC!M475="","*",FN_MC!M475)</f>
        <v>TMT</v>
      </c>
      <c r="G580" s="120" t="str">
        <f>IF(FN_MC!I475="","*",FN_MC!I475)</f>
        <v>-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>
        <f>IF(FN_MC!B478="","*",FN_MC!B478)</f>
        <v>46051</v>
      </c>
      <c r="D583" s="120" t="str">
        <f>IF(FN_MC!D478="","*",FN_MC!D478)</f>
        <v>W50</v>
      </c>
      <c r="E583" s="120" t="str">
        <f>IF(FN_MC!H478="","*",FN_MC!H478)</f>
        <v>TCS</v>
      </c>
      <c r="F583" s="136" t="str">
        <f>IF(FN_MC!M478="","*",FN_MC!M478)</f>
        <v>TVI-TJA</v>
      </c>
      <c r="G583" s="120" t="str">
        <f>IF(FN_MC!I478="","*",FN_MC!I478)</f>
        <v>TCS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>
        <f>IF(FN_MC!B480="","*",FN_MC!B480)</f>
        <v>46051</v>
      </c>
      <c r="D585" s="120" t="str">
        <f>IF(FN_MC!D480="","*",FN_MC!D480)</f>
        <v>A62</v>
      </c>
      <c r="E585" s="120" t="str">
        <f>IF(FN_MC!H480="","*",FN_MC!H480)</f>
        <v>TIN</v>
      </c>
      <c r="F585" s="136" t="str">
        <f>IF(FN_MC!M480="","*",FN_MC!M480)</f>
        <v>TIN</v>
      </c>
      <c r="G585" s="120" t="str">
        <f>IF(FN_MC!I480="","*",FN_MC!I480)</f>
        <v>TVI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1966</v>
      </c>
      <c r="D5" s="408"/>
      <c r="E5" s="408"/>
      <c r="F5" s="408"/>
      <c r="G5" s="408"/>
      <c r="H5" s="408"/>
      <c r="I5" s="408"/>
      <c r="J5" s="409"/>
      <c r="K5" s="410" t="s">
        <v>1967</v>
      </c>
      <c r="L5" s="411"/>
      <c r="M5" s="411"/>
      <c r="N5" s="411"/>
      <c r="O5" s="412" t="s">
        <v>1968</v>
      </c>
      <c r="P5" s="413"/>
      <c r="Q5" s="414"/>
    </row>
    <row r="6" spans="1:17" s="93" customFormat="1" ht="15.75" customHeight="1">
      <c r="A6" s="87" t="s">
        <v>1955</v>
      </c>
      <c r="B6" s="94" t="s">
        <v>1954</v>
      </c>
      <c r="C6" s="95" t="s">
        <v>1178</v>
      </c>
      <c r="D6" s="96" t="s">
        <v>1179</v>
      </c>
      <c r="E6" s="95" t="s">
        <v>1969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1970</v>
      </c>
      <c r="M6" s="138" t="s">
        <v>628</v>
      </c>
      <c r="N6" s="139" t="s">
        <v>1173</v>
      </c>
      <c r="O6" s="233" t="s">
        <v>1216</v>
      </c>
      <c r="P6" s="152"/>
      <c r="Q6" s="182" t="s">
        <v>1971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*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*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*</v>
      </c>
      <c r="G560" s="99" t="str">
        <f>IF(FN_MC!M471="","*",FN_MC!M471)</f>
        <v>TAL-TSF</v>
      </c>
      <c r="H560" s="149">
        <f>IF(FN_MC!K471="","*",FN_MC!K471)</f>
        <v>713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TAL-TSF</v>
      </c>
      <c r="M560" s="140">
        <f>IF(FN_MC!AP471="","*",FN_MC!AP471)</f>
        <v>713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>
        <f>IF(FN_MC!B473="","*",FN_MC!B473)</f>
        <v>46051</v>
      </c>
      <c r="B562" s="98" t="str">
        <f>IF(FN_MC!X473="","*",FN_MC!X473)</f>
        <v>*</v>
      </c>
      <c r="C562" s="99" t="str">
        <f>IF(FN_MC!S473="","*",FN_MC!S473)</f>
        <v>FERRONORTE</v>
      </c>
      <c r="D562" s="99" t="str">
        <f>IF(FN_MC!T473="","*",FN_MC!T473)</f>
        <v>TGR-TRO</v>
      </c>
      <c r="E562" s="99" t="str">
        <f>IF(FN_MC!D473="","*",FN_MC!D473)</f>
        <v>W70</v>
      </c>
      <c r="F562" s="99" t="str">
        <f>IF(FN_MC!H473="","*",FN_MC!H473)</f>
        <v>*</v>
      </c>
      <c r="G562" s="99" t="str">
        <f>IF(FN_MC!M473="","*",FN_MC!M473)</f>
        <v>TAL-TSF</v>
      </c>
      <c r="H562" s="149">
        <f>IF(FN_MC!K473="","*",FN_MC!K473)</f>
        <v>710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TAL-TSF</v>
      </c>
      <c r="M562" s="140">
        <f>IF(FN_MC!AP473="","*",FN_MC!AP473)</f>
        <v>710</v>
      </c>
      <c r="N562" s="140" t="str">
        <f>IF(FN_MC!AM473="","*",FN_MC!AM473)</f>
        <v>TAL-TSF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>
        <f>IF(FN_MC!B475="","*",FN_MC!B475)</f>
        <v>46051</v>
      </c>
      <c r="B564" s="98" t="str">
        <f>IF(FN_MC!X475="","*",FN_MC!X475)</f>
        <v>*</v>
      </c>
      <c r="C564" s="99" t="str">
        <f>IF(FN_MC!S475="","*",FN_MC!S475)</f>
        <v>FERRONORTE</v>
      </c>
      <c r="D564" s="99" t="str">
        <f>IF(FN_MC!T475="","*",FN_MC!T475)</f>
        <v>TCS-TGR</v>
      </c>
      <c r="E564" s="99" t="str">
        <f>IF(FN_MC!D475="","*",FN_MC!D475)</f>
        <v>ELSON (TF-526)</v>
      </c>
      <c r="F564" s="99" t="str">
        <f>IF(FN_MC!H475="","*",FN_MC!H475)</f>
        <v>TMT1</v>
      </c>
      <c r="G564" s="99" t="str">
        <f>IF(FN_MC!M475="","*",FN_MC!M475)</f>
        <v>TMT</v>
      </c>
      <c r="H564" s="149">
        <f>IF(FN_MC!K475="","*",FN_MC!K475)</f>
        <v>403.13</v>
      </c>
      <c r="I564" s="131">
        <f>IF(FN_MC!O475="","*",FN_MC!O475)</f>
        <v>0.375</v>
      </c>
      <c r="J564" s="131">
        <f>IF(FN_MC!P475="","*",FN_MC!P475)</f>
        <v>8.3333333333333329E-2</v>
      </c>
      <c r="K564" s="140" t="str">
        <f>IF(FN_MC!AK475="","*",FN_MC!AK475)</f>
        <v>TMT1</v>
      </c>
      <c r="L564" s="140" t="str">
        <f>IF(FN_MC!AM475="","*",FN_MC!AM475)</f>
        <v>TMT</v>
      </c>
      <c r="M564" s="140">
        <f>IF(FN_MC!AP475="","*",FN_MC!AP475)</f>
        <v>403.13</v>
      </c>
      <c r="N564" s="140" t="str">
        <f>IF(FN_MC!AM475="","*",FN_MC!AM475)</f>
        <v>TMT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>
        <f>IF(FN_MC!B478="","*",FN_MC!B478)</f>
        <v>46051</v>
      </c>
      <c r="B567" s="98" t="str">
        <f>IF(FN_MC!X478="","*",FN_MC!X478)</f>
        <v>*</v>
      </c>
      <c r="C567" s="99" t="str">
        <f>IF(FN_MC!S478="","*",FN_MC!S478)</f>
        <v>FERRONORTE</v>
      </c>
      <c r="D567" s="99" t="str">
        <f>IF(FN_MC!T478="","*",FN_MC!T478)</f>
        <v>TMI-TCS</v>
      </c>
      <c r="E567" s="99" t="str">
        <f>IF(FN_MC!D478="","*",FN_MC!D478)</f>
        <v>W50</v>
      </c>
      <c r="F567" s="99" t="str">
        <f>IF(FN_MC!H478="","*",FN_MC!H478)</f>
        <v>TCS</v>
      </c>
      <c r="G567" s="99" t="str">
        <f>IF(FN_MC!M478="","*",FN_MC!M478)</f>
        <v>TVI-TJA</v>
      </c>
      <c r="H567" s="149">
        <f>IF(FN_MC!K478="","*",FN_MC!K478)</f>
        <v>245.8</v>
      </c>
      <c r="I567" s="131">
        <f>IF(FN_MC!O478="","*",FN_MC!O478)</f>
        <v>0.35416666666666669</v>
      </c>
      <c r="J567" s="131">
        <f>IF(FN_MC!P478="","*",FN_MC!P478)</f>
        <v>0.125</v>
      </c>
      <c r="K567" s="140" t="str">
        <f>IF(FN_MC!AK478="","*",FN_MC!AK478)</f>
        <v>TCS</v>
      </c>
      <c r="L567" s="140" t="str">
        <f>IF(FN_MC!AM478="","*",FN_MC!AM478)</f>
        <v>TVI-TJA</v>
      </c>
      <c r="M567" s="140">
        <f>IF(FN_MC!AP478="","*",FN_MC!AP478)</f>
        <v>245.8</v>
      </c>
      <c r="N567" s="140" t="str">
        <f>IF(FN_MC!AM478="","*",FN_MC!AM478)</f>
        <v>TVI-TJA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>
        <f>IF(FN_MC!B480="","*",FN_MC!B480)</f>
        <v>46051</v>
      </c>
      <c r="B569" s="98" t="str">
        <f>IF(FN_MC!X480="","*",FN_MC!X480)</f>
        <v>*</v>
      </c>
      <c r="C569" s="99" t="str">
        <f>IF(FN_MC!S480="","*",FN_MC!S480)</f>
        <v>FERRONORTE</v>
      </c>
      <c r="D569" s="99" t="str">
        <f>IF(FN_MC!T480="","*",FN_MC!T480)</f>
        <v>TMI-TCS</v>
      </c>
      <c r="E569" s="99" t="str">
        <f>IF(FN_MC!D480="","*",FN_MC!D480)</f>
        <v>A62</v>
      </c>
      <c r="F569" s="99" t="str">
        <f>IF(FN_MC!H480="","*",FN_MC!H480)</f>
        <v>TIN</v>
      </c>
      <c r="G569" s="99" t="str">
        <f>IF(FN_MC!M480="","*",FN_MC!M480)</f>
        <v>TIN</v>
      </c>
      <c r="H569" s="149">
        <f>IF(FN_MC!K480="","*",FN_MC!K480)</f>
        <v>109</v>
      </c>
      <c r="I569" s="131">
        <f>IF(FN_MC!O480="","*",FN_MC!O480)</f>
        <v>0.35416666666666669</v>
      </c>
      <c r="J569" s="131">
        <f>IF(FN_MC!P480="","*",FN_MC!P480)</f>
        <v>4.1666666666666664E-2</v>
      </c>
      <c r="K569" s="140" t="str">
        <f>IF(FN_MC!AK480="","*",FN_MC!AK480)</f>
        <v>TIN</v>
      </c>
      <c r="L569" s="140" t="str">
        <f>IF(FN_MC!AM480="","*",FN_MC!AM480)</f>
        <v>TIN</v>
      </c>
      <c r="M569" s="140">
        <f>IF(FN_MC!AP480="","*",FN_MC!AP480)</f>
        <v>109</v>
      </c>
      <c r="N569" s="140" t="str">
        <f>IF(FN_MC!AM480="","*",FN_MC!AM480)</f>
        <v>TIN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1971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2026-01-28T16:49:42Z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