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38" documentId="120_S{118792C3-22EF-5104-A093-F22BFE3913F3}" xr6:coauthVersionLast="47" xr6:coauthVersionMax="47" xr10:uidLastSave="{87FCDE6C-5B8C-4BB9-8B03-9A82F808B1E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7" i="1" l="1"/>
  <c r="C117" i="1"/>
  <c r="G117" i="1"/>
  <c r="M117" i="1" a="1"/>
  <c r="M117" i="1"/>
  <c r="N117" i="1" a="1"/>
  <c r="N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9" i="1" a="1"/>
  <c r="H119" i="1" s="1"/>
  <c r="H115" i="1" a="1"/>
  <c r="H115" i="1" s="1"/>
  <c r="N112" i="1" a="1"/>
  <c r="N112" i="1"/>
  <c r="N113" i="1" a="1"/>
  <c r="N113" i="1"/>
  <c r="U114" i="1" a="1"/>
  <c r="U114" i="1" s="1"/>
  <c r="T114" i="1" a="1"/>
  <c r="T114" i="1" s="1"/>
  <c r="S114" i="1" a="1"/>
  <c r="S114" i="1" s="1"/>
  <c r="R114" i="1"/>
  <c r="G114" i="1"/>
  <c r="U118" i="1" a="1"/>
  <c r="U118" i="1" s="1"/>
  <c r="T118" i="1" a="1"/>
  <c r="T118" i="1" s="1"/>
  <c r="S118" i="1" a="1"/>
  <c r="S118" i="1" s="1"/>
  <c r="R118" i="1"/>
  <c r="G118" i="1"/>
  <c r="U115" i="1" a="1"/>
  <c r="U115" i="1" s="1"/>
  <c r="T115" i="1" a="1"/>
  <c r="T115" i="1" s="1"/>
  <c r="S115" i="1" a="1"/>
  <c r="S115" i="1" s="1"/>
  <c r="R115" i="1"/>
  <c r="N115" i="1" a="1"/>
  <c r="N115" i="1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 s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R103" i="15" s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R104" i="15" s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R110" i="1"/>
  <c r="R107" i="15" s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R113" i="1"/>
  <c r="R110" i="15" s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R116" i="15" s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R135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R138" i="15" s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117" i="1" l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<sst xmlns="http://schemas.openxmlformats.org/spreadsheetml/2006/main" count="4376" uniqueCount="1233">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</sst>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I104" activePane="topRight" state="frozen"/>
      <selection pane="topRight" activeCell="A117" sqref="A117:XFD1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1151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06"/>
      <c r="I106" s="106"/>
      <c r="J106" s="105">
        <v>70</v>
      </c>
      <c r="K106" s="105">
        <v>112.5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1156</v>
      </c>
      <c r="W110" s="151" t="s">
        <v>1157</v>
      </c>
      <c r="X110" s="104" t="s">
        <v>381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1158</v>
      </c>
      <c r="W113" s="151" t="s">
        <v>1159</v>
      </c>
      <c r="X113" s="104" t="s">
        <v>386</v>
      </c>
      <c r="Y113" s="129"/>
      <c r="Z113" s="104"/>
      <c r="AA113" s="105" t="s">
        <v>1160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V9346085</v>
      </c>
      <c r="B114" s="102">
        <v>46085</v>
      </c>
      <c r="C114" s="135">
        <f>IF(BS_CONTROLE[[#This Row],[DATA]]="","",WEEKNUM(BS_CONTROLE[[#This Row],[DATA]]))</f>
        <v>10</v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Produção e Intervalo</v>
      </c>
      <c r="BR114" s="19">
        <f>IF(OR(B114="",F114=""),"*",AY114/P114)</f>
        <v>0</v>
      </c>
      <c r="BS114" s="19">
        <f>IF(OR(B114="",F114=""),"*",BA114/Q114)</f>
        <v>0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>ROBSON (TP-729)46085</v>
      </c>
      <c r="B118" s="102">
        <v>46085</v>
      </c>
      <c r="C118" s="135">
        <f>IF(BS_CONTROLE[[#This Row],[DATA]]="","",WEEKNUM(BS_CONTROLE[[#This Row],[DATA]]))</f>
        <v>10</v>
      </c>
      <c r="D118" s="104" t="s">
        <v>899</v>
      </c>
      <c r="E118" s="159">
        <v>53</v>
      </c>
      <c r="F118" s="126" t="s">
        <v>744</v>
      </c>
      <c r="G118" s="142" t="str">
        <f>IF(D118="","*",VLOOKUP(F118,BS_ATIVIDADE[],3,FALSE))</f>
        <v>DORMENTE - SUBSTITUIÇÂO</v>
      </c>
      <c r="H118" s="105" t="s">
        <v>229</v>
      </c>
      <c r="I118" s="106" t="s">
        <v>558</v>
      </c>
      <c r="J118" s="105">
        <v>56</v>
      </c>
      <c r="K118" s="105">
        <v>190.3</v>
      </c>
      <c r="L118" s="105">
        <v>190.5</v>
      </c>
      <c r="M118" s="105" t="s">
        <v>1114</v>
      </c>
      <c r="N118" s="105" t="s">
        <v>229</v>
      </c>
      <c r="O118" s="106">
        <v>0.41666666666666669</v>
      </c>
      <c r="P118" s="106">
        <v>8.3333333333333329E-2</v>
      </c>
      <c r="Q118" s="105">
        <v>30</v>
      </c>
      <c r="R118" s="10" t="str">
        <f>IFERROR(_xlfn.XLOOKUP(F118, BS_ATIVIDADE[ATIVIDADE],BS_ATIVIDADE[UNIDADE] ), "*")</f>
        <v>Nº DE DORMENTES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8" s="105" t="s">
        <v>1115</v>
      </c>
      <c r="W118" s="151" t="s">
        <v>1089</v>
      </c>
      <c r="X118" s="104" t="s">
        <v>386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PDM - SUBSTITUIÇÃO - DORMENTE</v>
      </c>
      <c r="AJ118" s="9" t="str">
        <f>IF(BS_CONTROLE[[#This Row],[Atividade]]=0, "-", BS_CONTROLE[[#This Row],[Atividade]])</f>
        <v>PDM - SUBSTITUIÇÃO - DORMENTE</v>
      </c>
      <c r="AK118" s="31" t="str">
        <f>BS_CONTROLE[[#This Row],[Local - Partida]]</f>
        <v>189ZFY</v>
      </c>
      <c r="AL118" s="31" t="str">
        <f>BS_CONTROLE[[#This Row],[Local - Encerramento]]</f>
        <v>-</v>
      </c>
      <c r="AM118" s="105" t="str">
        <f>IF(BS_CONTROLE[[#This Row],[Entre - Estações]]=0, "-", BS_CONTROLE[[#This Row],[Entre - Estações]])</f>
        <v>ZDY-ZFY</v>
      </c>
      <c r="AN118" s="105" t="str">
        <f>IF(BS_CONTROLE[[#This Row],[SB]]=0, "-", BS_CONTROLE[[#This Row],[SB]])</f>
        <v>189ZFY</v>
      </c>
      <c r="AO118" s="105">
        <f>IF(BS_CONTROLE[[#This Row],[SUB]]=0, "-", BS_CONTROLE[[#This Row],[SUB]])</f>
        <v>56</v>
      </c>
      <c r="AP118" s="105">
        <f>BS_CONTROLE[[#This Row],[KM - Inicio]]</f>
        <v>190.3</v>
      </c>
      <c r="AQ118" s="105">
        <f>BS_CONTROLE[[#This Row],[KM - Inicio]]</f>
        <v>190.3</v>
      </c>
      <c r="AR118" s="108"/>
      <c r="AS118" s="108"/>
      <c r="AT118" s="108"/>
      <c r="AU118" s="136"/>
      <c r="AV118" s="136"/>
      <c r="AW118" s="14"/>
      <c r="AX118" s="14"/>
      <c r="AY118" s="164">
        <f>IF(D118="","*",IFERROR(IF(ISODD(COUNT(AS118:AX118)),"ERRO",SUM((AT118-AS118),(AV118-AU118),(AX118-AW118))),"ERRO"))</f>
        <v>0</v>
      </c>
      <c r="AZ118" s="153"/>
      <c r="BA118" s="109"/>
      <c r="BB118" s="10" t="str">
        <f>IFERROR(_xlfn.XLOOKUP(AI118, BS_ATIVIDADE[ATIVIDADE],BS_ATIVIDADE[UNIDADE] ), "*")</f>
        <v>Nº DE DORMENTES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8" t="str">
        <f t="shared" si="2"/>
        <v/>
      </c>
    </row>
    <row r="119" spans="1:72">
      <c r="A119" s="47" t="str">
        <f>D119&amp;B119</f>
        <v>ROBSON (TF-701)46085</v>
      </c>
      <c r="B119" s="102">
        <v>46085</v>
      </c>
      <c r="C119" s="135">
        <f>IF(BS_CONTROLE[[#This Row],[DATA]]="","",WEEKNUM(BS_CONTROLE[[#This Row],[DATA]]))</f>
        <v>10</v>
      </c>
      <c r="D119" s="104" t="s">
        <v>898</v>
      </c>
      <c r="E119" s="159">
        <v>114</v>
      </c>
      <c r="F119" s="126" t="s">
        <v>636</v>
      </c>
      <c r="G119" s="142" t="str">
        <f>IF(D119="","*",VLOOKUP(F119,BS_ATIVIDADE[],3,FALSE))</f>
        <v>LIMPEZA LASTRO</v>
      </c>
      <c r="H119" s="127" t="str" cm="1">
        <f t="array" ref="H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9" s="106" t="s">
        <v>558</v>
      </c>
      <c r="J119" s="105">
        <v>56</v>
      </c>
      <c r="K119" s="105">
        <v>187.58</v>
      </c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9" s="106">
        <v>0.41666666666666669</v>
      </c>
      <c r="P119" s="106">
        <v>6.25E-2</v>
      </c>
      <c r="Q119" s="105">
        <v>15</v>
      </c>
      <c r="R119" s="10" t="str">
        <f>IFERROR(_xlfn.XLOOKUP(F119, BS_ATIVIDADE[ATIVIDADE],BS_ATIVIDADE[UNIDADE] ), "*")</f>
        <v>M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LIMPEZA LASTRO</v>
      </c>
      <c r="AJ119" s="9" t="str">
        <f>IF(BS_CONTROLE[[#This Row],[Atividade]]=0, "-", BS_CONTROLE[[#This Row],[Atividade]])</f>
        <v>LIMPEZA LASTRO</v>
      </c>
      <c r="AK119" s="31" t="str">
        <f>BS_CONTROLE[[#This Row],[Local - Partida]]</f>
        <v>ZXP189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ZXP-ZFY</v>
      </c>
      <c r="AN119" s="105" t="str">
        <f>IF(BS_CONTROLE[[#This Row],[SB]]=0, "-", BS_CONTROLE[[#This Row],[SB]])</f>
        <v>ZXP189</v>
      </c>
      <c r="AO119" s="105">
        <f>IF(BS_CONTROLE[[#This Row],[SUB]]=0, "-", BS_CONTROLE[[#This Row],[SUB]])</f>
        <v>56</v>
      </c>
      <c r="AP119" s="105">
        <f>BS_CONTROLE[[#This Row],[KM - Inicio]]</f>
        <v>187.58</v>
      </c>
      <c r="AQ119" s="105">
        <f>BS_CONTROLE[[#This Row],[KM - Inicio]]</f>
        <v>187.58</v>
      </c>
      <c r="AR119" s="108"/>
      <c r="AS119" s="108"/>
      <c r="AT119" s="108"/>
      <c r="AU119" s="136"/>
      <c r="AV119" s="136"/>
      <c r="AW119" s="14"/>
      <c r="AX119" s="14"/>
      <c r="AY119" s="164">
        <f>IF(D119="","*",IFERROR(IF(ISODD(COUNT(AS119:AX119)),"ERRO",SUM((AT119-AS119),(AV119-AU119),(AX119-AW119))),"ERRO"))</f>
        <v>0</v>
      </c>
      <c r="AZ119" s="153"/>
      <c r="BA119" s="109"/>
      <c r="BB119" s="10" t="str">
        <f>IFERROR(_xlfn.XLOOKUP(AI119, BS_ATIVIDADE[ATIVIDADE],BS_ATIVIDADE[UNIDADE] ), "*")</f>
        <v>M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>LEANDRO (TP-727)</v>
      </c>
      <c r="B138" s="102"/>
      <c r="C138" s="135" t="str">
        <f>IF(BS_CONTROLE[[#This Row],[DATA]]="","",WEEKNUM(BS_CONTROLE[[#This Row],[DATA]]))</f>
        <v/>
      </c>
      <c r="D138" s="104" t="s">
        <v>878</v>
      </c>
      <c r="E138" s="159">
        <v>133</v>
      </c>
      <c r="F138" s="126" t="s">
        <v>744</v>
      </c>
      <c r="G138" s="142" t="str">
        <f>IF(D138="","*",VLOOKUP(F138,BS_ATIVIDADE[],3,FALSE))</f>
        <v>DORMENTE - SUBSTITUIÇÂO</v>
      </c>
      <c r="H138" s="106"/>
      <c r="I138" s="106"/>
      <c r="J138" s="105">
        <v>30</v>
      </c>
      <c r="K138" s="105">
        <v>112.7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8" s="127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8" s="106">
        <v>0.375</v>
      </c>
      <c r="P138" s="106">
        <v>8.3333333333333329E-2</v>
      </c>
      <c r="Q138" s="105">
        <v>30</v>
      </c>
      <c r="R138" s="10" t="str">
        <f>IFERROR(_xlfn.XLOOKUP(F138, BS_ATIVIDADE[ATIVIDADE],BS_ATIVIDADE[UNIDADE] ), "*")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SUBSTITUIÇÃO - DORMENTE</v>
      </c>
      <c r="AJ138" s="9" t="str">
        <f>IF(BS_CONTROLE[[#This Row],[Atividade]]=0, "-", BS_CONTROLE[[#This Row],[Atividade]])</f>
        <v>PDM - SUBSTITUIÇÃO - DORMENTE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ZGM-109</v>
      </c>
      <c r="AN138" s="105">
        <f>IF(BS_CONTROLE[[#This Row],[SB]]=0, "-", BS_CONTROLE[[#This Row],[SB]])</f>
        <v>1131121</v>
      </c>
      <c r="AO138" s="105">
        <f>IF(BS_CONTROLE[[#This Row],[SUB]]=0, "-", BS_CONTROLE[[#This Row],[SUB]])</f>
        <v>30</v>
      </c>
      <c r="AP138" s="105">
        <f>BS_CONTROLE[[#This Row],[KM - Inicio]]</f>
        <v>112.7</v>
      </c>
      <c r="AQ138" s="105">
        <f>BS_CONTROLE[[#This Row],[KM - Inicio]]</f>
        <v>112.7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>W62</v>
      </c>
      <c r="B141" s="102"/>
      <c r="C141" s="135" t="str">
        <f>IF(BS_CONTROLE[[#This Row],[DATA]]="","",WEEKNUM(BS_CONTROLE[[#This Row],[DATA]]))</f>
        <v/>
      </c>
      <c r="D141" s="104" t="s">
        <v>793</v>
      </c>
      <c r="E141" s="159">
        <v>136</v>
      </c>
      <c r="F141" s="126" t="s">
        <v>753</v>
      </c>
      <c r="G141" s="142" t="str">
        <f>IF(D141="","*",VLOOKUP(F141,BS_ATIVIDADE[],3,FALSE))</f>
        <v>OUTROS</v>
      </c>
      <c r="H141" s="106"/>
      <c r="I141" s="106"/>
      <c r="J141" s="105"/>
      <c r="K141" s="105">
        <v>96</v>
      </c>
      <c r="L141" s="105">
        <v>97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>
        <v>1</v>
      </c>
      <c r="R141" s="10" t="str">
        <f>IFERROR(_xlfn.XLOOKUP(F141, BS_ATIVIDADE[ATIVIDADE],BS_ATIVIDADE[UNIDADE] ), "*")</f>
        <v>BINÁRIO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 t="s">
        <v>1161</v>
      </c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RECOLHIMENTO DE MATERIAL</v>
      </c>
      <c r="AJ141" s="9" t="str">
        <f>IF(BS_CONTROLE[[#This Row],[Atividade]]=0, "-", BS_CONTROLE[[#This Row],[Atividade]])</f>
        <v>RECOLHIMENTO DE MATERIAL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96</v>
      </c>
      <c r="AQ141" s="105">
        <f>BS_CONTROLE[[#This Row],[KM - Inicio]]</f>
        <v>96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BINÁRIO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1162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1163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1163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0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0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0">
    <cfRule type="expression" dxfId="201" priority="53998">
      <formula>#REF!=1</formula>
    </cfRule>
  </conditionalFormatting>
  <conditionalFormatting sqref="BE6:BE1000 AY6:AY1000 U6:U1000">
    <cfRule type="cellIs" dxfId="200" priority="53982" operator="equal">
      <formula>"ERRO"</formula>
    </cfRule>
  </conditionalFormatting>
  <conditionalFormatting sqref="BQ6:BQ1000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0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H9:BH1000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1164</v>
      </c>
      <c r="C3" s="174" t="s">
        <v>1165</v>
      </c>
      <c r="D3" s="174" t="s">
        <v>1166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1167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1168</v>
      </c>
      <c r="C4" s="160" t="s">
        <v>1169</v>
      </c>
      <c r="D4" s="160" t="s">
        <v>1170</v>
      </c>
      <c r="E4" s="160" t="s">
        <v>1171</v>
      </c>
      <c r="F4" s="160" t="s">
        <v>4</v>
      </c>
      <c r="G4" s="160" t="s">
        <v>1172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1173</v>
      </c>
      <c r="C6" s="161">
        <v>407867</v>
      </c>
      <c r="D6" s="161" t="s">
        <v>1174</v>
      </c>
      <c r="E6" s="161" t="s">
        <v>789</v>
      </c>
      <c r="F6" s="161" t="s">
        <v>1175</v>
      </c>
      <c r="G6" s="162"/>
    </row>
    <row r="7" spans="2:7">
      <c r="B7" s="161" t="s">
        <v>1176</v>
      </c>
      <c r="C7" s="161">
        <v>293644</v>
      </c>
      <c r="D7" s="161" t="s">
        <v>1177</v>
      </c>
      <c r="E7" s="161" t="s">
        <v>789</v>
      </c>
      <c r="F7" s="161" t="s">
        <v>1175</v>
      </c>
      <c r="G7" s="162"/>
    </row>
    <row r="8" spans="2:7">
      <c r="B8" s="161" t="s">
        <v>1178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1179</v>
      </c>
      <c r="C9" s="161">
        <v>256790</v>
      </c>
      <c r="D9" s="161" t="s">
        <v>1180</v>
      </c>
      <c r="E9" s="161" t="s">
        <v>790</v>
      </c>
      <c r="F9" s="161" t="s">
        <v>1181</v>
      </c>
      <c r="G9" s="162">
        <v>46357</v>
      </c>
    </row>
    <row r="10" spans="2:7">
      <c r="B10" s="161" t="s">
        <v>1182</v>
      </c>
      <c r="C10" s="161">
        <v>265193</v>
      </c>
      <c r="D10" s="161" t="s">
        <v>1183</v>
      </c>
      <c r="E10" s="161" t="s">
        <v>791</v>
      </c>
      <c r="F10" s="161" t="s">
        <v>1068</v>
      </c>
      <c r="G10" s="161" t="s">
        <v>1184</v>
      </c>
    </row>
    <row r="11" spans="2:7">
      <c r="B11" s="161" t="s">
        <v>1185</v>
      </c>
      <c r="C11" s="161">
        <v>293716</v>
      </c>
      <c r="D11" s="161" t="s">
        <v>1186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1187</v>
      </c>
      <c r="C12" s="161">
        <v>257258</v>
      </c>
      <c r="D12" s="161" t="s">
        <v>1188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1189</v>
      </c>
      <c r="C13" s="161">
        <v>371147</v>
      </c>
      <c r="D13" s="161" t="s">
        <v>1190</v>
      </c>
      <c r="E13" s="161" t="s">
        <v>792</v>
      </c>
      <c r="F13" s="161" t="s">
        <v>128</v>
      </c>
      <c r="G13" s="161" t="s">
        <v>1184</v>
      </c>
    </row>
    <row r="14" spans="2:7">
      <c r="B14" s="161" t="s">
        <v>1191</v>
      </c>
      <c r="C14" s="161">
        <v>259230</v>
      </c>
      <c r="D14" s="161" t="s">
        <v>1192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1193</v>
      </c>
      <c r="C15" s="161">
        <v>370705</v>
      </c>
      <c r="D15" s="161"/>
      <c r="E15" s="161" t="s">
        <v>792</v>
      </c>
      <c r="F15" s="161" t="s">
        <v>128</v>
      </c>
      <c r="G15" s="161" t="s">
        <v>1184</v>
      </c>
    </row>
    <row r="16" spans="2:7">
      <c r="B16" s="161" t="s">
        <v>1194</v>
      </c>
      <c r="C16" s="161">
        <v>258542</v>
      </c>
      <c r="D16" s="161" t="s">
        <v>1195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1196</v>
      </c>
      <c r="C17" s="161">
        <v>257050</v>
      </c>
      <c r="D17" s="161" t="s">
        <v>1197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1198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1199</v>
      </c>
      <c r="D4" s="163" t="s">
        <v>1200</v>
      </c>
      <c r="E4" s="163" t="s">
        <v>1201</v>
      </c>
      <c r="F4" s="160" t="s">
        <v>1202</v>
      </c>
      <c r="G4" s="163" t="s">
        <v>1203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1204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1205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1204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1206</v>
      </c>
      <c r="G9" s="167" t="s">
        <v>1207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1204</v>
      </c>
      <c r="G10" s="167"/>
    </row>
    <row r="11" spans="2:7">
      <c r="B11" s="167" t="s">
        <v>1208</v>
      </c>
      <c r="C11" s="167">
        <v>9038</v>
      </c>
      <c r="D11" s="168">
        <v>46076</v>
      </c>
      <c r="E11" s="167">
        <v>8698</v>
      </c>
      <c r="F11" s="169" t="s">
        <v>1209</v>
      </c>
      <c r="G11" s="167"/>
    </row>
    <row r="12" spans="2:7">
      <c r="B12" s="167" t="s">
        <v>709</v>
      </c>
      <c r="C12" s="167" t="s">
        <v>1210</v>
      </c>
      <c r="D12" s="168">
        <v>46066</v>
      </c>
      <c r="E12" s="167">
        <v>9500</v>
      </c>
      <c r="F12" s="169" t="s">
        <v>1211</v>
      </c>
      <c r="G12" s="167"/>
    </row>
    <row r="13" spans="2:7">
      <c r="B13" s="167" t="s">
        <v>709</v>
      </c>
      <c r="C13" s="167" t="s">
        <v>1212</v>
      </c>
      <c r="D13" s="168">
        <v>46066</v>
      </c>
      <c r="E13" s="167">
        <v>10500</v>
      </c>
      <c r="F13" s="169" t="s">
        <v>1211</v>
      </c>
      <c r="G13" s="167"/>
    </row>
    <row r="14" spans="2:7">
      <c r="B14" s="167" t="s">
        <v>709</v>
      </c>
      <c r="C14" s="167" t="s">
        <v>1213</v>
      </c>
      <c r="D14" s="168">
        <v>46066</v>
      </c>
      <c r="E14" s="167">
        <v>9000</v>
      </c>
      <c r="F14" s="169" t="s">
        <v>1211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1214</v>
      </c>
      <c r="V1" s="215"/>
      <c r="W1" s="215"/>
    </row>
    <row r="2" spans="1:23" ht="15" customHeight="1">
      <c r="A2" s="87" t="s">
        <v>1215</v>
      </c>
      <c r="B2" s="87" t="s">
        <v>1216</v>
      </c>
      <c r="C2" s="87" t="s">
        <v>376</v>
      </c>
      <c r="D2" s="88" t="s">
        <v>958</v>
      </c>
      <c r="E2" s="88" t="s">
        <v>4</v>
      </c>
      <c r="F2" s="88" t="s">
        <v>1217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1218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*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*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Contrato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*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46085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ZBV-ZKE</v>
      </c>
      <c r="F115" s="145">
        <f>IF(SP_SUL!B118="","*",SP_SUL!B118)</f>
        <v>46085</v>
      </c>
      <c r="G115" s="145" t="str">
        <f>IF(SP_SUL!D118="","*",SP_SUL!D118)</f>
        <v>ROBSON (TP-729)</v>
      </c>
      <c r="H115" s="145" t="str">
        <f>IF(SP_SUL!F118="","*",SP_SUL!F118)</f>
        <v>PDM - SUBSTITUIÇÃO - DORMENTE</v>
      </c>
      <c r="I115" s="145" t="str">
        <f>IF(SP_SUL!H118="","*",SP_SUL!H118)</f>
        <v>189ZFY</v>
      </c>
      <c r="J115" s="145" t="str">
        <f>IF(SP_SUL!I118="","*",SP_SUL!I118)</f>
        <v>-</v>
      </c>
      <c r="K115" s="139" t="str">
        <f>IF(SP_SUL!M118="","*",SP_SUL!M118)</f>
        <v>ZDY-ZFY</v>
      </c>
      <c r="L115" s="139" t="str">
        <f>IF(SP_SUL!N118="","*",SP_SUL!N118)</f>
        <v>189ZFY</v>
      </c>
      <c r="M115" s="140">
        <f>IF(SP_SUL!J118="","*",SP_SUL!J118)</f>
        <v>56</v>
      </c>
      <c r="N115" s="144">
        <f>IF(SP_SUL!K118="","*",SP_SUL!K118)</f>
        <v>190.3</v>
      </c>
      <c r="O115" s="144">
        <f>IF(SP_SUL!L118="","*",SP_SUL!L118)</f>
        <v>190.5</v>
      </c>
      <c r="P115" s="143">
        <f>IF(SP_SUL!O118="","*",SP_SUL!O118)</f>
        <v>0.41666666666666669</v>
      </c>
      <c r="Q115" s="143">
        <f>IF(SP_SUL!P118="","*",SP_SUL!P118)</f>
        <v>8.3333333333333329E-2</v>
      </c>
      <c r="R115" s="145" t="str">
        <f>IF(SP_SUL!Q118="","*",CONCATENATE(SP_SUL!Q118," ",SP_SUL!R118))</f>
        <v>30 Nº DE DORMENTES</v>
      </c>
      <c r="S115" s="145" t="str">
        <f>IF(SP_SUL!V118="","*",SP_SUL!V118)</f>
        <v>Robson</v>
      </c>
      <c r="T115" s="145" t="str">
        <f>IF(SP_SUL!W118="","*",SP_SUL!W118)</f>
        <v>Substituição de dormentes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ZBV-ZKE</v>
      </c>
      <c r="F116" s="145">
        <f>IF(SP_SUL!B119="","*",SP_SUL!B119)</f>
        <v>46085</v>
      </c>
      <c r="G116" s="145" t="str">
        <f>IF(SP_SUL!D119="","*",SP_SUL!D119)</f>
        <v>ROBSON (TF-701)</v>
      </c>
      <c r="H116" s="145" t="str">
        <f>IF(SP_SUL!F119="","*",SP_SUL!F119)</f>
        <v>LIMPEZA LASTRO</v>
      </c>
      <c r="I116" s="145" t="str">
        <f>IF(SP_SUL!H119="","*",SP_SUL!H119)</f>
        <v>ZXP189</v>
      </c>
      <c r="J116" s="145" t="str">
        <f>IF(SP_SUL!I119="","*",SP_SUL!I119)</f>
        <v>-</v>
      </c>
      <c r="K116" s="139" t="str">
        <f>IF(SP_SUL!M119="","*",SP_SUL!M119)</f>
        <v>ZXP-ZFY</v>
      </c>
      <c r="L116" s="139" t="str">
        <f>IF(SP_SUL!N119="","*",SP_SUL!N119)</f>
        <v>ZXP189</v>
      </c>
      <c r="M116" s="140">
        <f>IF(SP_SUL!J119="","*",SP_SUL!J119)</f>
        <v>56</v>
      </c>
      <c r="N116" s="144">
        <f>IF(SP_SUL!K119="","*",SP_SUL!K119)</f>
        <v>187.58</v>
      </c>
      <c r="O116" s="144" t="str">
        <f>IF(SP_SUL!L119="","*",SP_SUL!L119)</f>
        <v>*</v>
      </c>
      <c r="P116" s="143">
        <f>IF(SP_SUL!O119="","*",SP_SUL!O119)</f>
        <v>0.41666666666666669</v>
      </c>
      <c r="Q116" s="143">
        <f>IF(SP_SUL!P119="","*",SP_SUL!P119)</f>
        <v>6.25E-2</v>
      </c>
      <c r="R116" s="145" t="str">
        <f>IF(SP_SUL!Q119="","*",CONCATENATE(SP_SUL!Q119," ",SP_SUL!R119))</f>
        <v>15 M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 t="str">
        <f>IF(SP_SUL!B138="","*",SP_SUL!B138)</f>
        <v>*</v>
      </c>
      <c r="G135" s="145" t="str">
        <f>IF(SP_SUL!D138="","*",SP_SUL!D138)</f>
        <v>LEANDRO (TP-727)</v>
      </c>
      <c r="H135" s="145" t="str">
        <f>IF(SP_SUL!F138="","*",SP_SUL!F138)</f>
        <v>PDM - SUBSTITUIÇÃO - DORMENTE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ZGM-109</v>
      </c>
      <c r="L135" s="139">
        <f>IF(SP_SUL!N138="","*",SP_SUL!N138)</f>
        <v>1131121</v>
      </c>
      <c r="M135" s="140">
        <f>IF(SP_SUL!J138="","*",SP_SUL!J138)</f>
        <v>30</v>
      </c>
      <c r="N135" s="144">
        <f>IF(SP_SUL!K138="","*",SP_SUL!K138)</f>
        <v>112.7</v>
      </c>
      <c r="O135" s="144" t="str">
        <f>IF(SP_SUL!L138="","*",SP_SUL!L138)</f>
        <v>*</v>
      </c>
      <c r="P135" s="143">
        <f>IF(SP_SUL!O138="","*",SP_SUL!O138)</f>
        <v>0.375</v>
      </c>
      <c r="Q135" s="143">
        <f>IF(SP_SUL!P138="","*",SP_SUL!P138)</f>
        <v>8.3333333333333329E-2</v>
      </c>
      <c r="R135" s="145" t="str">
        <f>IF(SP_SUL!Q138="","*",CONCATENATE(SP_SUL!Q138," ",SP_SUL!R138))</f>
        <v>30 Nº DE DORMENTES</v>
      </c>
      <c r="S135" s="145" t="str">
        <f>IF(SP_SUL!V138="","*",SP_SUL!V138)</f>
        <v>*</v>
      </c>
      <c r="T135" s="145" t="str">
        <f>IF(SP_SUL!W138="","*",SP_SUL!W138)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W62</v>
      </c>
      <c r="H138" s="145" t="str">
        <f>IF(SP_SUL!F141="","*",SP_SUL!F141)</f>
        <v>RECOLHIMENTO DE MATERIAL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>
        <f>IF(SP_SUL!K141="","*",SP_SUL!K141)</f>
        <v>96</v>
      </c>
      <c r="O138" s="144">
        <f>IF(SP_SUL!L141="","*",SP_SUL!L141)</f>
        <v>97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1 BINÁRIO</v>
      </c>
      <c r="S138" s="145" t="str">
        <f>IF(SP_SUL!V141="","*",SP_SUL!V141)</f>
        <v>*</v>
      </c>
      <c r="T138" s="145" t="str">
        <f>IF(SP_SUL!W141="","*",SP_SUL!W141)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1219</v>
      </c>
      <c r="D5" s="217"/>
      <c r="E5" s="217"/>
      <c r="F5" s="217"/>
      <c r="G5" s="217"/>
      <c r="H5" s="217"/>
      <c r="I5" s="217"/>
      <c r="J5" s="218"/>
      <c r="K5" s="219" t="s">
        <v>1220</v>
      </c>
      <c r="L5" s="220"/>
      <c r="M5" s="220"/>
      <c r="N5" s="220"/>
      <c r="O5" s="221" t="s">
        <v>1221</v>
      </c>
      <c r="P5" s="222"/>
    </row>
    <row r="6" spans="1:16" s="74" customFormat="1" ht="15" customHeight="1">
      <c r="A6" s="66" t="s">
        <v>1217</v>
      </c>
      <c r="B6" s="75" t="s">
        <v>1216</v>
      </c>
      <c r="C6" s="76" t="s">
        <v>958</v>
      </c>
      <c r="D6" s="77" t="s">
        <v>959</v>
      </c>
      <c r="E6" s="76" t="s">
        <v>1222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1223</v>
      </c>
      <c r="M6" s="80" t="s">
        <v>576</v>
      </c>
      <c r="N6" s="81" t="s">
        <v>953</v>
      </c>
      <c r="O6" s="158" t="s">
        <v>996</v>
      </c>
      <c r="P6" s="133" t="s">
        <v>1224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*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>
        <f>IF(SP_SUL!AK106="","*",SP_SUL!AK106)</f>
        <v>0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Contrato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>
        <f>IF(SP_SUL!B114="","*",SP_SUL!B114)</f>
        <v>46085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>
        <f>IF(SP_SUL!B118="","*",SP_SUL!B118)</f>
        <v>46085</v>
      </c>
      <c r="B119" s="83" t="str">
        <f>IF(SP_SUL!X118="","*",SP_SUL!X118)</f>
        <v>Oportunidade</v>
      </c>
      <c r="C119" s="83" t="str">
        <f>IF(SP_SUL!S118="","*",SP_SUL!S118)</f>
        <v>SP SUL</v>
      </c>
      <c r="D119" s="83" t="str">
        <f>IF(SP_SUL!T118="","*",SP_SUL!T118)</f>
        <v>ZBV-ZKE</v>
      </c>
      <c r="E119" s="83" t="str">
        <f>IF(SP_SUL!D118="","*",SP_SUL!D118)</f>
        <v>ROBSON (TP-729)</v>
      </c>
      <c r="F119" s="83" t="str">
        <f>IF(SP_SUL!H118="","*",SP_SUL!H118)</f>
        <v>189ZFY</v>
      </c>
      <c r="G119" s="83" t="str">
        <f>IF(SP_SUL!M118="","*",SP_SUL!M118)</f>
        <v>ZDY-ZFY</v>
      </c>
      <c r="H119" s="116">
        <f>IF(SP_SUL!K118="","*",SP_SUL!K118)</f>
        <v>190.3</v>
      </c>
      <c r="I119" s="113">
        <f>IF(SP_SUL!O118="","*",SP_SUL!O118)</f>
        <v>0.41666666666666669</v>
      </c>
      <c r="J119" s="113">
        <f>IF(SP_SUL!P118="","*",SP_SUL!P118)</f>
        <v>8.3333333333333329E-2</v>
      </c>
      <c r="K119" s="83" t="str">
        <f>IF(SP_SUL!AK118="","*",SP_SUL!AK118)</f>
        <v>189ZFY</v>
      </c>
      <c r="L119" s="83" t="str">
        <f>IF(SP_SUL!AM118="","*",SP_SUL!AM118)</f>
        <v>ZDY-ZFY</v>
      </c>
      <c r="M119" s="83">
        <f>IF(SP_SUL!AP118="","*",SP_SUL!AP118)</f>
        <v>190.3</v>
      </c>
      <c r="N119" s="83" t="str">
        <f>IF(SP_SUL!AM118="","*",SP_SUL!AM118)</f>
        <v>ZDY-ZFY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>
        <f>IF(SP_SUL!B119="","*",SP_SUL!B119)</f>
        <v>46085</v>
      </c>
      <c r="B120" s="83" t="str">
        <f>IF(SP_SUL!X119="","*",SP_SUL!X119)</f>
        <v>*</v>
      </c>
      <c r="C120" s="83" t="str">
        <f>IF(SP_SUL!S119="","*",SP_SUL!S119)</f>
        <v>SP SUL</v>
      </c>
      <c r="D120" s="83" t="str">
        <f>IF(SP_SUL!T119="","*",SP_SUL!T119)</f>
        <v>ZBV-ZKE</v>
      </c>
      <c r="E120" s="83" t="str">
        <f>IF(SP_SUL!D119="","*",SP_SUL!D119)</f>
        <v>ROBSON (TF-701)</v>
      </c>
      <c r="F120" s="83" t="str">
        <f>IF(SP_SUL!H119="","*",SP_SUL!H119)</f>
        <v>ZXP189</v>
      </c>
      <c r="G120" s="83" t="str">
        <f>IF(SP_SUL!M119="","*",SP_SUL!M119)</f>
        <v>ZXP-ZFY</v>
      </c>
      <c r="H120" s="116">
        <f>IF(SP_SUL!K119="","*",SP_SUL!K119)</f>
        <v>187.58</v>
      </c>
      <c r="I120" s="113">
        <f>IF(SP_SUL!O119="","*",SP_SUL!O119)</f>
        <v>0.41666666666666669</v>
      </c>
      <c r="J120" s="113">
        <f>IF(SP_SUL!P119="","*",SP_SUL!P119)</f>
        <v>6.25E-2</v>
      </c>
      <c r="K120" s="83" t="str">
        <f>IF(SP_SUL!AK119="","*",SP_SUL!AK119)</f>
        <v>ZXP189</v>
      </c>
      <c r="L120" s="83" t="str">
        <f>IF(SP_SUL!AM119="","*",SP_SUL!AM119)</f>
        <v>ZXP-ZFY</v>
      </c>
      <c r="M120" s="83">
        <f>IF(SP_SUL!AP119="","*",SP_SUL!AP119)</f>
        <v>187.58</v>
      </c>
      <c r="N120" s="83" t="str">
        <f>IF(SP_SUL!AM119="","*",SP_SUL!AM119)</f>
        <v>ZXP-ZFY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SP SUL</v>
      </c>
      <c r="D139" s="83" t="str">
        <f>IF(SP_SUL!T138="","*",SP_SUL!T138)</f>
        <v>ZEV-ZPT</v>
      </c>
      <c r="E139" s="83" t="str">
        <f>IF(SP_SUL!D138="","*",SP_SUL!D138)</f>
        <v>LEANDRO (TP-727)</v>
      </c>
      <c r="F139" s="83" t="str">
        <f>IF(SP_SUL!H138="","*",SP_SUL!H138)</f>
        <v>*</v>
      </c>
      <c r="G139" s="83" t="str">
        <f>IF(SP_SUL!M138="","*",SP_SUL!M138)</f>
        <v>ZGM-109</v>
      </c>
      <c r="H139" s="116">
        <f>IF(SP_SUL!K138="","*",SP_SUL!K138)</f>
        <v>112.7</v>
      </c>
      <c r="I139" s="113">
        <f>IF(SP_SUL!O138="","*",SP_SUL!O138)</f>
        <v>0.375</v>
      </c>
      <c r="J139" s="113">
        <f>IF(SP_SUL!P138="","*",SP_SUL!P138)</f>
        <v>8.3333333333333329E-2</v>
      </c>
      <c r="K139" s="83">
        <f>IF(SP_SUL!AK138="","*",SP_SUL!AK138)</f>
        <v>0</v>
      </c>
      <c r="L139" s="83" t="str">
        <f>IF(SP_SUL!AM138="","*",SP_SUL!AM138)</f>
        <v>ZGM-109</v>
      </c>
      <c r="M139" s="83">
        <f>IF(SP_SUL!AP138="","*",SP_SUL!AP138)</f>
        <v>112.7</v>
      </c>
      <c r="N139" s="83" t="str">
        <f>IF(SP_SUL!AM138="","*",SP_SUL!AM138)</f>
        <v>ZGM-109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W62</v>
      </c>
      <c r="F142" s="83" t="str">
        <f>IF(SP_SUL!H141="","*",SP_SUL!H141)</f>
        <v>*</v>
      </c>
      <c r="G142" s="83" t="str">
        <f>IF(SP_SUL!M141="","*",SP_SUL!M141)</f>
        <v>-</v>
      </c>
      <c r="H142" s="116">
        <f>IF(SP_SUL!K141="","*",SP_SUL!K141)</f>
        <v>96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96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1225</v>
      </c>
      <c r="C2" s="121" t="s">
        <v>943</v>
      </c>
      <c r="D2" s="76" t="s">
        <v>945</v>
      </c>
      <c r="E2" s="76" t="s">
        <v>1226</v>
      </c>
      <c r="F2" s="99" t="s">
        <v>1227</v>
      </c>
      <c r="G2" s="76" t="s">
        <v>1228</v>
      </c>
      <c r="H2" s="76" t="s">
        <v>1229</v>
      </c>
      <c r="I2" s="76" t="s">
        <v>1230</v>
      </c>
      <c r="J2" s="76" t="s">
        <v>1231</v>
      </c>
      <c r="K2" s="78" t="s">
        <v>1232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*</v>
      </c>
      <c r="F103" s="100" t="str">
        <f>IF(SP_SUL!M106="","*",SP_SUL!M106)</f>
        <v>ZLI-ZCD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>
        <f>IF(SP_SUL!B114="","*",SP_SUL!B114)</f>
        <v>46085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>
        <f>IF(SP_SUL!B118="","*",SP_SUL!B118)</f>
        <v>46085</v>
      </c>
      <c r="D115" s="94" t="str">
        <f>IF(SP_SUL!D118="","*",SP_SUL!D118)</f>
        <v>ROBSON (TP-729)</v>
      </c>
      <c r="E115" s="94" t="str">
        <f>IF(SP_SUL!H118="","*",SP_SUL!H118)</f>
        <v>189ZFY</v>
      </c>
      <c r="F115" s="100" t="str">
        <f>IF(SP_SUL!M118="","*",SP_SUL!M118)</f>
        <v>ZDY-ZFY</v>
      </c>
      <c r="G115" s="95" t="str">
        <f>IF(SP_SUL!I118="","*",SP_SUL!I118)</f>
        <v>-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>
        <f>IF(SP_SUL!B119="","*",SP_SUL!B119)</f>
        <v>46085</v>
      </c>
      <c r="D116" s="94" t="str">
        <f>IF(SP_SUL!D119="","*",SP_SUL!D119)</f>
        <v>ROBSON (TF-701)</v>
      </c>
      <c r="E116" s="94" t="str">
        <f>IF(SP_SUL!H119="","*",SP_SUL!H119)</f>
        <v>ZXP189</v>
      </c>
      <c r="F116" s="100" t="str">
        <f>IF(SP_SUL!M119="","*",SP_SUL!M119)</f>
        <v>ZXP-ZFY</v>
      </c>
      <c r="G116" s="95" t="str">
        <f>IF(SP_SUL!I119="","*",SP_SUL!I119)</f>
        <v>-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LEANDRO (TP-727)</v>
      </c>
      <c r="E135" s="94" t="str">
        <f>IF(SP_SUL!H138="","*",SP_SUL!H138)</f>
        <v>*</v>
      </c>
      <c r="F135" s="100" t="str">
        <f>IF(SP_SUL!M138="","*",SP_SUL!M138)</f>
        <v>ZGM-109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W62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2026-03-03T17:18:00Z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