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84" documentId="120_S{118792C3-22EF-5104-A093-F22BFE3913F3}" xr6:coauthVersionLast="47" xr6:coauthVersionMax="47" xr10:uidLastSave="{8CC2CC85-385F-4E86-AC2D-3E939BFD143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0" i="1" l="1" a="1"/>
  <c r="N210" i="1" s="1"/>
  <c r="M210" i="1" a="1"/>
  <c r="M210" i="1" s="1"/>
  <c r="N207" i="1" a="1"/>
  <c r="N207" i="1" s="1"/>
  <c r="M207" i="1" a="1"/>
  <c r="M207" i="1" s="1"/>
  <c r="N195" i="1" a="1"/>
  <c r="N195" i="1" s="1"/>
  <c r="M195" i="1" a="1"/>
  <c r="M195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94" i="1" a="1"/>
  <c r="N194" i="1" s="1"/>
  <c r="M194" i="1" a="1"/>
  <c r="M194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<sst xmlns="http://schemas.openxmlformats.org/spreadsheetml/2006/main" count="5308" uniqueCount="1350">
  <si>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</si>
  <si>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</si>
  <si>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</si>
  <si>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</si>
  <si>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</si>
  <si>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</si>
  <si>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</si>
  <si>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</si>
  <si>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</si>
  <si>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</si>
  <si>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</si>
  <si>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</si>
  <si>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</si>
  <si>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</si>
  <si>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</si>
  <si>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</si>
  <si>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</si>
  <si>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</si>
  <si>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</si>
  <si>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</si>
  <si>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</si>
  <si>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</si>
  <si>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</si>
  <si>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</si>
  <si>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</si>
  <si>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</si>
  <si>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</si>
  <si>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</si>
  <si>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</si>
  <si>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</si>
  <si>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</si>
  <si>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</si>
  <si>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</si>
  <si>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</si>
  <si>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</si>
  <si>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</si>
  <si>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</si>
  <si>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</si>
  <si>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</si>
  <si>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</si>
  <si>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</si>
  <si>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</si>
  <si>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</si>
  <si>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</si>
  <si>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</si>
  <si>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</si>
  <si>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</si>
  <si>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</si>
  <si>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</si>
  <si>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</si>
  <si>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</si>
  <si>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</si>
  <si>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</si>
  <si>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</si>
  <si>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</si>
  <si>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</si>
  <si>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</si>
  <si>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</si>
  <si>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</si>
  <si>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</si>
  <si>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</si>
  <si>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</si>
  <si>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</si>
  <si>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</si>
  <si>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</si>
  <si>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</si>
  <si>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</si>
  <si>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</si>
  <si>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</si>
  <si>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</si>
  <si>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</si>
  <si>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</si>
  <si>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</si>
  <si>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</si>
  <si>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</si>
  <si>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</si>
  <si>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</si>
  <si>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</si>
  <si>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</si>
  <si>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</si>
  <si>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</si>
  <si>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</si>
  <si>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</si>
  <si>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</si>
  <si>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</si>
  <si>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</si>
  <si>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</si>
  <si>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</si>
  <si>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</si>
  <si>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</si>
  <si>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</si>
  <si>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</si>
  <si>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</si>
  <si>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</si>
  <si>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</si>
  <si>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</si>
  <si>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</si>
  <si>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</si>
  <si>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</si>
  <si>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</si>
  <si>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</si>
  <si>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</si>
  <si>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</si>
  <si>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</si>
  <si>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</si>
  <si>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</si>
  <si>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</si>
  <si>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</si>
  <si>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</si>
  <si>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</si>
  <si>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</si>
  <si>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</si>
  <si>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</si>
  <si>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</si>
  <si>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</si>
  <si>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</si>
  <si>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</si>
  <si>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</si>
  <si>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</si>
  <si>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</si>
  <si>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</si>
  <si>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</si>
  <si>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</si>
  <si>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</si>
  <si>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</si>
  <si>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</si>
  <si>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</si>
  <si>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</si>
  <si>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</si>
  <si>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</si>
  <si>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</si>
  <si>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</si>
  <si>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</si>
  <si>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</si>
  <si>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</si>
  <si>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</si>
  <si>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</si>
  <si>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</si>
  <si>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</si>
  <si>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</si>
  <si>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</si>
  <si>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</si>
  <si>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</si>
  <si>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</si>
  <si>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</si>
  <si>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</si>
  <si>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</si>
  <si>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</si>
  <si>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</si>
  <si>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</si>
  <si>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</si>
  <si>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</si>
  <si>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</si>
  <si>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</si>
  <si>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</si>
  <si>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</si>
  <si>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</si>
  <si>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</si>
  <si>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</si>
  <si>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</si>
  <si>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</si>
  <si>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</si>
  <si>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</si>
  <si>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</si>
  <si>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</si>
  <si>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</si>
  <si>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</si>
  <si>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</si>
  <si>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</si>
  <si>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</si>
  <si>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</si>
  <si>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</si>
  <si>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</si>
  <si>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</si>
  <si>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</si>
  <si>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</si>
  <si>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</si>
  <si>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</si>
  <si>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</si>
  <si>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</si>
  <si>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</si>
  <si>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</si>
  <si>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</si>
  <si>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</si>
  <si>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</si>
  <si>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</si>
  <si>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</si>
  <si>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</si>
  <si>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</si>
  <si>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</si>
  <si>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</si>
  <si>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</si>
  <si>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</si>
  <si>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</si>
  <si>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</si>
  <si>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</si>
  <si>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</si>
  <si>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</si>
  <si>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</si>
  <si>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</si>
  <si>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</si>
  <si>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</si>
  <si>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</si>
  <si>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</si>
  <si>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</si>
  <si>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</si>
  <si>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</si>
  <si>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</si>
  <si>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</si>
  <si>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</si>
  <si>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</si>
  <si>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</si>
  <si>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</si>
  <si>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</si>
  <si>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</si>
  <si>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</si>
  <si>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</si>
  <si>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</si>
  <si>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</si>
  <si>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</si>
  <si>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</si>
  <si>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</si>
  <si>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</si>
  <si>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</si>
  <si>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</si>
  <si>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</si>
  <si>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</si>
  <si>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</si>
  <si>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</si>
  <si>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</si>
  <si>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</si>
  <si>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</si>
  <si>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</si>
  <si>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</si>
  <si>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</si>
  <si>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</si>
  <si>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</si>
  <si>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</si>
  <si>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</si>
  <si>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</si>
  <si>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</si>
  <si>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</si>
  <si>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</si>
  <si>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</si>
  <si>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</si>
  <si>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</si>
  <si>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</si>
  <si>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</si>
  <si>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</si>
  <si>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</si>
  <si>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</si>
  <si>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</si>
  <si>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</si>
  <si>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</si>
  <si>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</si>
  <si>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</si>
  <si>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</si>
  <si>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</si>
  <si>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</si>
  <si>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</si>
  <si>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</si>
  <si>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</si>
  <si>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</si>
  <si>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</si>
  <si>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</si>
  <si>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</si>
  <si>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</si>
  <si>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</si>
  <si>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</si>
  <si>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</si>
  <si>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</si>
  <si>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</si>
  <si>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</si>
  <si>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</si>
  <si>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</si>
  <si>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</si>
  <si>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</si>
  <si>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</si>
  <si>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</si>
  <si>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</si>
  <si>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</si>
  <si>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</si>
  <si>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</si>
  <si>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</si>
  <si>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</si>
  <si>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</si>
  <si>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</si>
  <si>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</si>
  <si>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</si>
  <si>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</si>
  <si>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</si>
  <si>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</si>
  <si>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</si>
  <si>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</si>
  <si>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</si>
  <si>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</si>
  <si>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</si>
  <si>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</si>
  <si>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</si>
  <si>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</si>
  <si>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</si>
  <si>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</si>
  <si>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</si>
  <si>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</si>
  <si>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</si>
  <si>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</si>
  <si>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</si>
  <si>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</si>
  <si>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</si>
  <si>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</si>
  <si>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</si>
  <si>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</si>
  <si>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</si>
  <si>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</si>
  <si>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</si>
  <si>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</si>
  <si>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</si>
  <si>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</si>
  <si>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</si>
  <si>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</si>
  <si>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</si>
  <si>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</si>
  <si>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</si>
  <si>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</si>
  <si>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</si>
  <si>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</si>
  <si>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</si>
  <si>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</si>
  <si>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</si>
  <si>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</si>
  <si>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</si>
  <si>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</si>
  <si>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</si>
  <si>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</si>
  <si>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</si>
  <si>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</si>
  <si>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</si>
  <si>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</si>
  <si>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</si>
  <si>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</si>
  <si>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</si>
  <si>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</si>
  <si>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</si>
  <si>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</si>
  <si>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</si>
  <si>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</si>
  <si>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</si>
  <si>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</si>
  <si>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</si>
  <si>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</si>
  <si>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</si>
  <si>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</si>
  <si>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</si>
  <si>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</si>
  <si>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</si>
  <si>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</si>
  <si>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</si>
  <si>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</si>
  <si>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</si>
  <si>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</si>
  <si>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</si>
  <si>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</si>
  <si>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</si>
  <si>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</si>
  <si>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</si>
  <si>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</si>
  <si>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</si>
  <si>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</si>
  <si>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</si>
  <si>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</si>
  <si>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</si>
  <si>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</si>
  <si>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</si>
  <si>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</si>
  <si>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</si>
  <si>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</si>
  <si>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</si>
  <si>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</si>
  <si>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</si>
  <si>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</si>
  <si>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</si>
  <si>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</si>
  <si>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</si>
  <si>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</si>
  <si>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</si>
  <si>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</si>
  <si>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</si>
  <si>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</si>
  <si>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</si>
  <si>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</si>
  <si>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</si>
  <si>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</si>
  <si>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</si>
  <si>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</si>
  <si>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</si>
  <si>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</si>
  <si>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</si>
  <si>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</si>
  <si>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</si>
  <si>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</si>
  <si>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</si>
  <si>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</si>
  <si>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</si>
  <si>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</si>
  <si>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</si>
  <si>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</si>
  <si>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</si>
  <si>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</si>
  <si>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</si>
  <si>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</si>
  <si>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</si>
  <si>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</si>
  <si>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</si>
  <si>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</si>
  <si>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</si>
  <si>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</si>
  <si>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</si>
  <si>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</si>
  <si>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</si>
  <si>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</si>
  <si>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</si>
  <si>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</si>
  <si>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</si>
  <si>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</si>
  <si>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</si>
  <si>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</si>
  <si>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</si>
  <si>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</si>
  <si>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</si>
  <si>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</si>
  <si>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</si>
  <si>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</si>
  <si>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</si>
  <si>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</si>
  <si>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</si>
  <si>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</si>
  <si>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</si>
  <si>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</si>
  <si>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</si>
  <si>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</si>
  <si>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</si>
  <si>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</si>
  <si>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</si>
  <si>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</si>
  <si>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</si>
  <si>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</si>
  <si>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</si>
  <si>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</si>
  <si>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</si>
  <si>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</si>
  <si>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</si>
  <si>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</si>
  <si>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</si>
  <si>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</si>
  <si>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</si>
  <si>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</si>
  <si>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</si>
  <si>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</si>
  <si>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</si>
  <si>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</si>
  <si>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</si>
  <si>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</si>
  <si>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</si>
  <si>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</si>
  <si>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</si>
  <si>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</si>
  <si>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</si>
  <si>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</si>
  <si>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</si>
  <si>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</si>
  <si>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</si>
  <si>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</si>
  <si>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</si>
  <si>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</si>
  <si>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</si>
  <si>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</si>
  <si>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</si>
  <si>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</si>
  <si>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</si>
  <si>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</si>
  <si>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</si>
  <si>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</si>
  <si>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</si>
  <si>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</si>
  <si>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</si>
  <si>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</si>
  <si>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</si>
  <si>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</si>
  <si>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</si>
  <si>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</si>
  <si>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</si>
  <si>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</si>
  <si>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</si>
  <si>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</si>
  <si>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</si>
  <si>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</si>
  <si>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</si>
  <si>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</si>
  <si>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</si>
  <si>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</si>
  <si>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</si>
  <si>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</si>
  <si>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</si>
  <si>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</si>
  <si>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</si>
  <si>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</si>
  <si>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</si>
  <si>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</si>
  <si>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</si>
  <si>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</si>
  <si>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</si>
  <si>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</si>
  <si>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</si>
  <si>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</si>
  <si>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</si>
  <si>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</si>
  <si>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</si>
  <si>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</si>
  <si>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</si>
  <si>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</si>
  <si>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</si>
  <si>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</si>
  <si>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</si>
  <si>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</si>
  <si>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</si>
  <si>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</si>
  <si>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</si>
  <si>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</si>
  <si>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</si>
  <si>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</si>
  <si>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</si>
  <si>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</si>
  <si>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</si>
  <si>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</si>
  <si>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</si>
  <si>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</si>
  <si>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</si>
  <si>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</si>
  <si>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</si>
  <si>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</si>
  <si>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</si>
  <si>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</si>
  <si>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</si>
  <si>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</si>
  <si>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</si>
  <si>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</si>
  <si>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</si>
  <si>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</si>
  <si>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</si>
  <si>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</si>
  <si>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</si>
  <si>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</si>
  <si>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</si>
  <si>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</si>
  <si>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</si>
  <si>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</si>
  <si>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</si>
  <si>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</si>
  <si>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</si>
  <si>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</si>
  <si>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</si>
  <si>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</si>
  <si>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</si>
  <si>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</si>
  <si>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</si>
  <si>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</si>
  <si>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</si>
  <si>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</si>
  <si>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</si>
  <si>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</si>
  <si>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</si>
  <si>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</si>
  <si>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</si>
  <si>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</si>
  <si>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</si>
  <si>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</si>
  <si>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</si>
  <si>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</si>
  <si>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</si>
  <si>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</si>
  <si>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</si>
  <si>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</si>
  <si>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</si>
  <si>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</si>
  <si>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</si>
  <si>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</si>
  <si>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</si>
  <si>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</si>
  <si>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</si>
  <si>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</si>
  <si>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</si>
  <si>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</si>
  <si>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</si>
  <si>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</si>
  <si>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</si>
  <si>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</si>
  <si>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</si>
  <si>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</si>
  <si>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</si>
  <si>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</si>
  <si>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</si>
  <si>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</si>
  <si>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</si>
  <si>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</si>
  <si>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</si>
  <si>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</si>
  <si>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</si>
  <si>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</si>
  <si>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</si>
  <si>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</si>
  <si>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</si>
  <si>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</si>
  <si>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</si>
  <si>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</si>
  <si>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</si>
  <si>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</si>
  <si>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</si>
  <si>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</si>
  <si>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</si>
  <si>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</si>
  <si>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</si>
  <si>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</si>
  <si>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</si>
  <si>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</si>
  <si>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</si>
  <si>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</si>
  <si>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</si>
  <si>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</si>
  <si>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</si>
  <si>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</si>
  <si>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</si>
  <si>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</si>
  <si>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</si>
  <si>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</si>
  <si>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</si>
  <si>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</si>
  <si>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</si>
  <si>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</si>
  <si>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</si>
  <si>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</si>
  <si>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</si>
  <si>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</si>
  <si>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</si>
  <si>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</si>
  <si>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</si>
  <si>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</si>
  <si>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</si>
  <si>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</si>
  <si>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</si>
  <si>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</si>
  <si>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</si>
  <si>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</si>
  <si>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</si>
  <si>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</si>
  <si>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</si>
  <si>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</si>
  <si>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</si>
  <si>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</si>
  <si>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</si>
  <si>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</si>
  <si>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</si>
  <si>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</si>
  <si>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</si>
  <si>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</si>
  <si>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</si>
  <si>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</si>
  <si>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</si>
  <si>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</si>
  <si>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</si>
  <si>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</si>
  <si>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</si>
  <si>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</si>
  <si>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</si>
  <si>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</si>
  <si>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</si>
  <si>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</si>
  <si>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</si>
  <si>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</si>
  <si>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</si>
  <si>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</si>
  <si>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</si>
  <si>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</si>
  <si>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</si>
  <si>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</si>
  <si>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</si>
  <si>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</si>
  <si>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</si>
  <si>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</si>
  <si>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</si>
  <si>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</si>
  <si>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</si>
  <si>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</si>
  <si>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</si>
  <si>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</si>
  <si>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</si>
  <si>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</si>
  <si>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</si>
  <si>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</si>
  <si>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</si>
  <si>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</si>
  <si>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</si>
  <si>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</si>
  <si>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</si>
  <si>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</si>
  <si>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</si>
  <si>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</si>
  <si>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</si>
  <si>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</si>
  <si>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</si>
  <si>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</si>
  <si>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</si>
  <si>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</si>
  <si>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</si>
  <si>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</si>
  <si>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</si>
  <si>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</si>
  <si>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</si>
  <si>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</si>
  <si>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</si>
  <si>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</si>
  <si>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</si>
  <si>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</si>
  <si>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</si>
  <si>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</si>
  <si>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</si>
  <si>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</si>
  <si>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</si>
  <si>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</si>
  <si>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</si>
  <si>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</si>
  <si>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</si>
  <si>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</si>
  <si>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</si>
  <si>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</si>
  <si>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</si>
  <si>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</si>
  <si>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</si>
  <si>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</si>
  <si>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</si>
  <si>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</si>
  <si>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</si>
  <si>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</si>
  <si>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</si>
  <si>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</si>
  <si>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</si>
  <si>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</si>
  <si>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</si>
  <si>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</si>
  <si>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</si>
  <si>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</si>
  <si>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</si>
  <si>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</si>
  <si>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</si>
  <si>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</si>
  <si>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</si>
  <si>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</si>
  <si>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</si>
  <si>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</si>
  <si>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</si>
  <si>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</si>
  <si>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</si>
  <si>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</si>
  <si>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</si>
  <si>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</si>
  <si>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</si>
  <si>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</si>
  <si>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</si>
  <si>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</si>
  <si>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</si>
  <si>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</si>
  <si>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</si>
  <si>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</si>
  <si>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</si>
  <si>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</si>
  <si>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</si>
  <si>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</si>
  <si>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</si>
  <si>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</si>
  <si>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</si>
  <si>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</si>
  <si>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</si>
  <si>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</si>
  <si>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</si>
  <si>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</si>
  <si>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</si>
  <si>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</si>
  <si>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</si>
  <si>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</si>
  <si>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</si>
  <si>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</si>
  <si>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</si>
  <si>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</si>
  <si>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</si>
  <si>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</si>
  <si>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</si>
  <si>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</si>
  <si>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</si>
  <si>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</si>
  <si>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</si>
  <si>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</si>
  <si>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</si>
  <si>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</si>
  <si>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</si>
  <si>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</si>
  <si>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</si>
  <si>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</si>
  <si>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</si>
  <si>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</si>
  <si>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</si>
  <si>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</si>
  <si>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</si>
  <si>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</si>
  <si>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</si>
  <si>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</si>
  <si>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</si>
  <si>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</si>
  <si>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</si>
  <si>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</si>
  <si>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</si>
  <si>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</si>
  <si>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</si>
  <si>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</si>
  <si>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</si>
  <si>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</si>
  <si>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</si>
  <si>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</si>
  <si>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</si>
  <si>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</si>
  <si>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</si>
  <si>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</si>
  <si>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</si>
  <si>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</si>
  <si>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</si>
  <si>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</si>
  <si>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</si>
  <si>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</si>
  <si>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</si>
  <si>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</si>
  <si>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</si>
  <si>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</si>
  <si>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</si>
  <si>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</si>
  <si>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</si>
  <si>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</si>
  <si>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</si>
  <si>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</si>
  <si>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</si>
  <si>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</si>
  <si>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</si>
  <si>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</si>
  <si>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</si>
  <si>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</si>
  <si>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</si>
  <si>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</si>
  <si>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</si>
  <si>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</si>
  <si>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</si>
  <si>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</si>
  <si>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</si>
  <si>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</si>
  <si>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</si>
  <si>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</si>
  <si>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</si>
  <si>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</si>
  <si>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</si>
  <si>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</si>
  <si>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</si>
  <si>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</si>
  <si>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</si>
  <si>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</si>
  <si>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</si>
  <si>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</si>
  <si>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</si>
  <si>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</si>
  <si>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</si>
  <si>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</si>
  <si>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</si>
  <si>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</si>
  <si>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</si>
  <si>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</si>
  <si>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</si>
  <si>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</si>
  <si>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</si>
  <si>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</si>
  <si>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</si>
  <si>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</si>
  <si>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</si>
  <si>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</si>
  <si>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</si>
  <si>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</si>
  <si>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</si>
  <si>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</si>
  <si>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</si>
  <si>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</si>
  <si>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</si>
  <si>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</si>
  <si>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</si>
  <si>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</si>
  <si>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</si>
  <si>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</si>
  <si>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</si>
  <si>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</si>
  <si>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</si>
  <si>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</si>
  <si>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</si>
  <si>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</si>
  <si>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</si>
  <si>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</si>
  <si>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</si>
  <si>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</si>
  <si>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</si>
  <si>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</si>
  <si>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</si>
  <si>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</si>
  <si>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</si>
  <si>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</si>
  <si>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</si>
  <si>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</si>
  <si>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</si>
  <si>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</si>
  <si>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</si>
  <si>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</si>
  <si>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</si>
  <si>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</si>
  <si>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</si>
  <si>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</si>
  <si>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</si>
  <si>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</si>
  <si>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</si>
  <si>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</si>
  <si>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</si>
  <si>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</si>
  <si>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</si>
  <si>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</si>
  <si>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</si>
  <si>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</si>
  <si>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</si>
  <si>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</si>
  <si>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</si>
  <si>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</si>
  <si>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</si>
  <si>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</si>
  <si>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</si>
  <si>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</si>
  <si>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</si>
  <si>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</si>
  <si>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</si>
  <si>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</si>
  <si>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</si>
  <si>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</si>
  <si>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</si>
  <si>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</si>
  <si>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</si>
  <si>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</si>
  <si>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</si>
  <si>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</si>
  <si>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</si>
  <si>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</si>
  <si>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</si>
  <si>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</si>
  <si>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</si>
  <si>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</si>
  <si>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</si>
  <si>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</si>
  <si>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</si>
  <si>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</si>
  <si>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</si>
  <si>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</si>
  <si>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</si>
  <si>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</si>
  <si>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</si>
  <si>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</si>
  <si>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</si>
  <si>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</si>
  <si>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</si>
  <si>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</si>
  <si>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</si>
  <si>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</si>
  <si>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</si>
  <si>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</si>
  <si>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</si>
  <si>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</si>
  <si>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</si>
  <si>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</si>
  <si>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</si>
  <si>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</si>
  <si>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</si>
  <si>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</si>
  <si>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</si>
  <si>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</si>
  <si>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</si>
  <si>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</si>
  <si>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</si>
  <si>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</si>
  <si>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</si>
  <si>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</si>
  <si>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</si>
  <si>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</si>
  <si>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</si>
  <si>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</si>
  <si>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</si>
  <si>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</si>
  <si>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</si>
  <si>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</si>
  <si>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</si>
  <si>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</si>
  <si>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</si>
  <si>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</si>
  <si>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</si>
  <si>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</si>
  <si>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</si>
  <si>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</si>
  <si>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</si>
  <si>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</si>
  <si>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</si>
  <si>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</si>
  <si>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</si>
  <si>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</si>
  <si>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</si>
  <si>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</si>
  <si>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</si>
  <si>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</si>
  <si>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</si>
  <si>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</si>
  <si>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</si>
  <si>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</si>
  <si>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</si>
  <si>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</si>
  <si>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</si>
  <si>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</si>
  <si>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</si>
  <si>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</si>
  <si>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</si>
  <si>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</si>
  <si>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</si>
  <si>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</si>
  <si>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</si>
  <si>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</si>
  <si>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</si>
  <si>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</si>
  <si>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</si>
  <si>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</si>
  <si>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</si>
  <si>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</si>
  <si>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</si>
  <si>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</si>
  <si>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</si>
  <si>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</si>
  <si>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</si>
  <si>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</si>
  <si>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</si>
  <si>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</si>
  <si>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</si>
  <si>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</si>
  <si>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</si>
  <si>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</si>
  <si>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</si>
  <si>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</si>
  <si>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</si>
  <si>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</si>
  <si>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</si>
  <si>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</si>
  <si>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</si>
  <si>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</si>
  <si>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</si>
  <si>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</si>
  <si>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</si>
  <si>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</si>
  <si>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</si>
  <si>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</si>
  <si>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</si>
  <si>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</si>
  <si>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</si>
  <si>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</si>
  <si>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</si>
  <si>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</si>
  <si>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</si>
  <si>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</si>
  <si>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</si>
  <si>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</si>
  <si>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</si>
  <si>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</si>
  <si>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</si>
  <si>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</si>
  <si>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</si>
  <si>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</si>
  <si>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</si>
  <si>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</si>
  <si>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</si>
  <si>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</si>
  <si>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</si>
  <si>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</si>
  <si>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</si>
  <si>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</si>
  <si>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</si>
  <si>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</si>
  <si>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</si>
  <si>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</si>
  <si>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</si>
  <si>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</si>
  <si>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</si>
  <si>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</si>
  <si>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</si>
  <si>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</si>
  <si>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</si>
  <si>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</si>
  <si>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</si>
  <si>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</si>
  <si>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</si>
  <si>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</si>
  <si>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</si>
  <si>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</si>
  <si>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</si>
  <si>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</si>
  <si>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</si>
  <si>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</si>
  <si>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</si>
  <si>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</si>
  <si>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</si>
  <si>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</si>
  <si>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</si>
  <si>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</si>
  <si>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</si>
  <si>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</si>
  <si>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</si>
  <si>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</si>
  <si>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</si>
  <si>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</si>
  <si>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</si>
  <si>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</si>
  <si>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</si>
  <si>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</si>
  <si>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</si>
  <si>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</si>
  <si>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</si>
  <si>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</si>
  <si>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</si>
  <si>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</si>
  <si>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</si>
  <si>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</si>
  <si>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</si>
  <si>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</si>
  <si>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</si>
  <si>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</si>
  <si>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</si>
  <si>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</si>
  <si>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</si>
  <si>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</si>
  <si>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</si>
  <si>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</si>
  <si>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</si>
  <si>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</si>
  <si>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</si>
  <si>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</si>
  <si>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</si>
  <si>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</si>
  <si>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</si>
  <si>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</si>
  <si>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</si>
  <si>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</si>
  <si>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</si>
  <si>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</si>
  <si>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</si>
  <si>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</si>
  <si>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</si>
  <si>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</si>
  <si>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</si>
  <si>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</si>
  <si>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</si>
  <si>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</si>
  <si>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</si>
  <si>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</si>
  <si>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</si>
  <si>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</si>
  <si>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</si>
  <si>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</si>
  <si>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</si>
  <si>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</si>
  <si>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</si>
  <si>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</si>
  <si>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</si>
  <si>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</si>
  <si>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</si>
  <si>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</si>
  <si>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</si>
  <si>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</si>
  <si>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</si>
  <si>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</si>
  <si>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</si>
  <si>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</si>
  <si>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</si>
  <si>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</si>
  <si>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</si>
  <si>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</si>
  <si>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</si>
  <si>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</si>
  <si>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</si>
  <si>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</si>
  <si>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</si>
  <si>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</si>
  <si>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</si>
  <si>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</si>
  <si>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</si>
  <si>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</si>
  <si>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</si>
  <si>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</si>
  <si>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</si>
  <si>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</si>
  <si>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</si>
  <si>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</si>
  <si>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</si>
  <si>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</si>
  <si>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</si>
  <si>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</si>
  <si>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</si>
  <si>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</si>
  <si>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</si>
  <si>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</si>
  <si>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</si>
  <si>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</si>
  <si>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</si>
  <si>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</si>
  <si>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</si>
  <si>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</si>
  <si>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</si>
  <si>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</si>
  <si>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</si>
  <si>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</si>
  <si>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</si>
  <si>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</si>
  <si>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</si>
  <si>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</si>
  <si>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</si>
  <si>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</si>
  <si>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</si>
  <si>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</si>
  <si>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</si>
  <si>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</si>
  <si>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</si>
  <si>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</si>
  <si>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</si>
  <si>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</si>
  <si>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</si>
  <si>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</si>
  <si>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</si>
  <si>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</si>
  <si>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</si>
  <si>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</si>
  <si>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</si>
  <si>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</si>
  <si>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</si>
  <si>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</si>
  <si>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</si>
  <si>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</si>
  <si>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</si>
  <si>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</si>
  <si>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</si>
  <si>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</si>
  <si>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Em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</si>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</sst>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88" activePane="topRight" state="frozen"/>
      <selection pane="topRight" activeCell="AG211" sqref="AG2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1</v>
      </c>
      <c r="BI154" s="17"/>
      <c r="BJ154" s="17" t="s">
        <v>1257</v>
      </c>
      <c r="BK154" s="18" t="s">
        <v>1258</v>
      </c>
      <c r="BL154" s="16"/>
      <c r="BM154" s="130"/>
      <c r="BN154" s="130"/>
      <c r="BO154" s="130"/>
      <c r="BP154" s="18"/>
      <c r="BQ154" s="12" t="str">
        <f t="shared" si="16"/>
        <v>Produção</v>
      </c>
      <c r="BR154" s="19">
        <f t="shared" si="17"/>
        <v>1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1259</v>
      </c>
      <c r="BK155" s="18" t="s">
        <v>1259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1260</v>
      </c>
      <c r="BK156" s="18" t="s">
        <v>1260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1260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1261</v>
      </c>
      <c r="BK157" s="18" t="s">
        <v>1262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1261</v>
      </c>
      <c r="BK158" s="18" t="s">
        <v>1262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1263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1264</v>
      </c>
      <c r="BK159" s="18" t="s">
        <v>1264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1265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1266</v>
      </c>
      <c r="J164" s="105">
        <v>70</v>
      </c>
      <c r="K164" s="105">
        <v>82</v>
      </c>
      <c r="L164" s="105" t="s">
        <v>593</v>
      </c>
      <c r="M164" s="105" t="s">
        <v>1267</v>
      </c>
      <c r="N164" s="150" t="s">
        <v>1268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1269</v>
      </c>
      <c r="J167" s="105">
        <v>56</v>
      </c>
      <c r="K167" s="105">
        <v>201</v>
      </c>
      <c r="L167" s="105" t="s">
        <v>593</v>
      </c>
      <c r="M167" s="105" t="s">
        <v>1270</v>
      </c>
      <c r="N167" s="150" t="s">
        <v>1271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</v>
      </c>
      <c r="B168" s="102"/>
      <c r="C168" s="135" t="str">
        <f>IF(BS_CONTROLE[[#This Row],[DATA]]="","",WEEKNUM(BS_CONTROLE[[#This Row],[DATA]]))</f>
        <v/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1272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1273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1274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1275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1276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1277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1278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>E1746061</v>
      </c>
      <c r="B194" s="102">
        <v>46061</v>
      </c>
      <c r="C194" s="135">
        <f>IF(BS_CONTROLE[[#This Row],[DATA]]="","",WEEKNUM(BS_CONTROLE[[#This Row],[DATA]]))</f>
        <v>7</v>
      </c>
      <c r="D194" s="104" t="s">
        <v>737</v>
      </c>
      <c r="E194" s="159">
        <v>4</v>
      </c>
      <c r="F194" s="126" t="s">
        <v>595</v>
      </c>
      <c r="G194" s="142" t="str">
        <f>IF(D194="","*",VLOOKUP(F194,BS_ATIVIDADE[],3,FALSE))</f>
        <v>CAMINHÂO - SOLDA</v>
      </c>
      <c r="H194" s="106" t="s">
        <v>201</v>
      </c>
      <c r="I194" s="106" t="s">
        <v>201</v>
      </c>
      <c r="J194" s="105">
        <v>55</v>
      </c>
      <c r="K194" s="105">
        <v>81</v>
      </c>
      <c r="L194" s="105">
        <v>82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4" s="106">
        <v>0.375</v>
      </c>
      <c r="P194" s="106">
        <v>0.16666666666666666</v>
      </c>
      <c r="Q194" s="105">
        <v>4</v>
      </c>
      <c r="R194" s="10" t="str">
        <f>IFERROR(_xlfn.XLOOKUP(F194, BS_ATIVIDADE[ATIVIDADE],BS_ATIVIDADE[UNIDADE] ), "*")</f>
        <v>Nº DE SOLDA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1084</v>
      </c>
      <c r="W194" s="151" t="s">
        <v>1085</v>
      </c>
      <c r="X194" s="104" t="s">
        <v>421</v>
      </c>
      <c r="Y194" s="129"/>
      <c r="Z194" s="104"/>
      <c r="AA194" s="105">
        <v>1</v>
      </c>
      <c r="AB194" s="103" t="s">
        <v>412</v>
      </c>
      <c r="AC194" s="152"/>
      <c r="AD194" s="107">
        <v>0.33333333333333331</v>
      </c>
      <c r="AE194" s="105">
        <v>6251</v>
      </c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CAMINHÃO DE SOLDA</v>
      </c>
      <c r="AJ194" s="9" t="str">
        <f>IF(BS_CONTROLE[[#This Row],[Atividade]]=0, "-", BS_CONTROLE[[#This Row],[Atividade]])</f>
        <v>CAMINHÃO DE SOLDA</v>
      </c>
      <c r="AK194" s="31" t="str">
        <f>BS_CONTROLE[[#This Row],[Local - Partida]]</f>
        <v>102ZKW2</v>
      </c>
      <c r="AL194" s="31" t="str">
        <f>BS_CONTROLE[[#This Row],[Local - Encerramento]]</f>
        <v>102ZKW2</v>
      </c>
      <c r="AM194" s="105" t="str">
        <f>IF(BS_CONTROLE[[#This Row],[Entre - Estações]]=0, "-", BS_CONTROLE[[#This Row],[Entre - Estações]])</f>
        <v>ZKE-ZWW</v>
      </c>
      <c r="AN194" s="105" t="str">
        <f>IF(BS_CONTROLE[[#This Row],[SB]]=0, "-", BS_CONTROLE[[#This Row],[SB]])</f>
        <v>K83K802</v>
      </c>
      <c r="AO194" s="105">
        <f>IF(BS_CONTROLE[[#This Row],[SUB]]=0, "-", BS_CONTROLE[[#This Row],[SUB]])</f>
        <v>55</v>
      </c>
      <c r="AP194" s="105">
        <f>BS_CONTROLE[[#This Row],[KM - Inicio]]</f>
        <v>81</v>
      </c>
      <c r="AQ194" s="105">
        <f>BS_CONTROLE[[#This Row],[KM - Inicio]]</f>
        <v>81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TURMA FIXA VIA 46061</v>
      </c>
      <c r="B195" s="102">
        <v>46061</v>
      </c>
      <c r="C195" s="135">
        <f>IF(BS_CONTROLE[[#This Row],[DATA]]="","",WEEKNUM(BS_CONTROLE[[#This Row],[DATA]]))</f>
        <v>7</v>
      </c>
      <c r="D195" s="104" t="s">
        <v>845</v>
      </c>
      <c r="E195" s="159">
        <v>171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55</v>
      </c>
      <c r="K195" s="105">
        <v>135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5" s="106">
        <v>0.375</v>
      </c>
      <c r="P195" s="106">
        <v>6.25E-2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1220</v>
      </c>
      <c r="W195" s="151" t="s">
        <v>1191</v>
      </c>
      <c r="X195" s="104" t="s">
        <v>421</v>
      </c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ZEM</v>
      </c>
      <c r="AN195" s="105" t="str">
        <f>IF(BS_CONTROLE[[#This Row],[SB]]=0, "-", BS_CONTROLE[[#This Row],[SB]])</f>
        <v>ZEM2</v>
      </c>
      <c r="AO195" s="105">
        <f>IF(BS_CONTROLE[[#This Row],[SUB]]=0, "-", BS_CONTROLE[[#This Row],[SUB]])</f>
        <v>55</v>
      </c>
      <c r="AP195" s="105">
        <f>BS_CONTROLE[[#This Row],[KM - Inicio]]</f>
        <v>135</v>
      </c>
      <c r="AQ195" s="105">
        <f>BS_CONTROLE[[#This Row],[KM - Inicio]]</f>
        <v>135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1265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</v>
      </c>
      <c r="B208" s="102"/>
      <c r="C208" s="135" t="str">
        <f>IF(BS_CONTROLE[[#This Row],[DATA]]="","",WEEKNUM(BS_CONTROLE[[#This Row],[DATA]]))</f>
        <v/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1279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>CLEBISON (TP-728)</v>
      </c>
      <c r="B209" s="102"/>
      <c r="C209" s="135" t="str">
        <f>IF(BS_CONTROLE[[#This Row],[DATA]]="","",WEEKNUM(BS_CONTROLE[[#This Row],[DATA]]))</f>
        <v/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>ISMAEL(TP-726)</v>
      </c>
      <c r="B210" s="102"/>
      <c r="C210" s="135" t="str">
        <f>IF(BS_CONTROLE[[#This Row],[DATA]]="","",WEEKNUM(BS_CONTROLE[[#This Row],[DATA]]))</f>
        <v/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>W60</v>
      </c>
      <c r="B211" s="102"/>
      <c r="C211" s="135" t="str">
        <f>IF(BS_CONTROLE[[#This Row],[DATA]]="","",WEEKNUM(BS_CONTROLE[[#This Row],[DATA]]))</f>
        <v/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1280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1281</v>
      </c>
      <c r="C4" s="160" t="s">
        <v>1282</v>
      </c>
      <c r="D4" s="160" t="s">
        <v>1283</v>
      </c>
      <c r="E4" s="160" t="s">
        <v>1284</v>
      </c>
      <c r="F4" s="160" t="s">
        <v>4</v>
      </c>
      <c r="G4" s="160" t="s">
        <v>1285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1286</v>
      </c>
      <c r="C6" s="161">
        <v>407867</v>
      </c>
      <c r="D6" s="161" t="s">
        <v>1287</v>
      </c>
      <c r="E6" s="161" t="s">
        <v>824</v>
      </c>
      <c r="F6" s="161" t="s">
        <v>1288</v>
      </c>
      <c r="G6" s="162"/>
    </row>
    <row r="7" spans="2:7">
      <c r="B7" s="161" t="s">
        <v>1289</v>
      </c>
      <c r="C7" s="161">
        <v>293644</v>
      </c>
      <c r="D7" s="161" t="s">
        <v>1290</v>
      </c>
      <c r="E7" s="161" t="s">
        <v>824</v>
      </c>
      <c r="F7" s="161" t="s">
        <v>1288</v>
      </c>
      <c r="G7" s="162"/>
    </row>
    <row r="8" spans="2:7">
      <c r="B8" s="161" t="s">
        <v>1291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1292</v>
      </c>
      <c r="C9" s="161">
        <v>256790</v>
      </c>
      <c r="D9" s="161" t="s">
        <v>1293</v>
      </c>
      <c r="E9" s="161" t="s">
        <v>825</v>
      </c>
      <c r="F9" s="161" t="s">
        <v>1294</v>
      </c>
      <c r="G9" s="162">
        <v>46357</v>
      </c>
    </row>
    <row r="10" spans="2:7">
      <c r="B10" s="161" t="s">
        <v>1295</v>
      </c>
      <c r="C10" s="161">
        <v>265193</v>
      </c>
      <c r="D10" s="161" t="s">
        <v>1296</v>
      </c>
      <c r="E10" s="161" t="s">
        <v>826</v>
      </c>
      <c r="F10" s="161" t="s">
        <v>54</v>
      </c>
      <c r="G10" s="161" t="s">
        <v>1297</v>
      </c>
    </row>
    <row r="11" spans="2:7">
      <c r="B11" s="161" t="s">
        <v>1298</v>
      </c>
      <c r="C11" s="161">
        <v>293716</v>
      </c>
      <c r="D11" s="161" t="s">
        <v>1299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1300</v>
      </c>
      <c r="C12" s="161">
        <v>257258</v>
      </c>
      <c r="D12" s="161" t="s">
        <v>1301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1302</v>
      </c>
      <c r="C13" s="161">
        <v>371147</v>
      </c>
      <c r="D13" s="161" t="s">
        <v>1303</v>
      </c>
      <c r="E13" s="161" t="s">
        <v>827</v>
      </c>
      <c r="F13" s="161" t="s">
        <v>71</v>
      </c>
      <c r="G13" s="161" t="s">
        <v>1297</v>
      </c>
    </row>
    <row r="14" spans="2:7">
      <c r="B14" s="161" t="s">
        <v>1304</v>
      </c>
      <c r="C14" s="161">
        <v>259230</v>
      </c>
      <c r="D14" s="161" t="s">
        <v>1305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1306</v>
      </c>
      <c r="C15" s="161">
        <v>370705</v>
      </c>
      <c r="D15" s="161"/>
      <c r="E15" s="161" t="s">
        <v>827</v>
      </c>
      <c r="F15" s="161" t="s">
        <v>71</v>
      </c>
      <c r="G15" s="161" t="s">
        <v>1297</v>
      </c>
    </row>
    <row r="16" spans="2:7">
      <c r="B16" s="161" t="s">
        <v>1307</v>
      </c>
      <c r="C16" s="161">
        <v>258542</v>
      </c>
      <c r="D16" s="161" t="s">
        <v>1308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1309</v>
      </c>
      <c r="C17" s="161">
        <v>257050</v>
      </c>
      <c r="D17" s="161" t="s">
        <v>1310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1311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1312</v>
      </c>
      <c r="D4" s="163" t="s">
        <v>1313</v>
      </c>
      <c r="E4" s="163" t="s">
        <v>1314</v>
      </c>
      <c r="F4" s="160" t="s">
        <v>1315</v>
      </c>
      <c r="G4" s="163" t="s">
        <v>1316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1317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1318</v>
      </c>
      <c r="G7" s="167" t="s">
        <v>1319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1317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1317</v>
      </c>
      <c r="G9" s="167"/>
    </row>
    <row r="10" spans="2:7" ht="19.5" customHeight="1">
      <c r="B10" s="167" t="s">
        <v>1320</v>
      </c>
      <c r="C10" s="167">
        <v>9038</v>
      </c>
      <c r="D10" s="168">
        <v>46049</v>
      </c>
      <c r="E10" s="167">
        <v>15098</v>
      </c>
      <c r="F10" s="169" t="s">
        <v>1321</v>
      </c>
      <c r="G10" s="167" t="s">
        <v>1322</v>
      </c>
    </row>
    <row r="11" spans="2:7" ht="19.5" customHeight="1">
      <c r="B11" s="167" t="s">
        <v>744</v>
      </c>
      <c r="C11" s="167" t="s">
        <v>1323</v>
      </c>
      <c r="D11" s="168">
        <v>46056</v>
      </c>
      <c r="E11" s="167">
        <v>9100</v>
      </c>
      <c r="F11" s="169" t="s">
        <v>1324</v>
      </c>
      <c r="G11" s="167" t="s">
        <v>1325</v>
      </c>
    </row>
    <row r="12" spans="2:7" ht="19.5" customHeight="1">
      <c r="B12" s="167" t="s">
        <v>744</v>
      </c>
      <c r="C12" s="167" t="s">
        <v>1326</v>
      </c>
      <c r="D12" s="168">
        <v>46056</v>
      </c>
      <c r="E12" s="167">
        <v>11000</v>
      </c>
      <c r="F12" s="169" t="s">
        <v>1324</v>
      </c>
      <c r="G12" s="167" t="s">
        <v>1327</v>
      </c>
    </row>
    <row r="13" spans="2:7" ht="19.5" customHeight="1">
      <c r="B13" s="167" t="s">
        <v>744</v>
      </c>
      <c r="C13" s="167" t="s">
        <v>1328</v>
      </c>
      <c r="D13" s="168">
        <v>46056</v>
      </c>
      <c r="E13" s="167">
        <v>11000</v>
      </c>
      <c r="F13" s="169" t="s">
        <v>1324</v>
      </c>
      <c r="G13" s="167"/>
    </row>
    <row r="14" spans="2:7" ht="19.5" customHeight="1">
      <c r="B14" s="167" t="s">
        <v>744</v>
      </c>
      <c r="C14" s="167" t="s">
        <v>1329</v>
      </c>
      <c r="D14" s="168">
        <v>46056</v>
      </c>
      <c r="E14" s="167">
        <v>4000</v>
      </c>
      <c r="F14" s="169" t="s">
        <v>1317</v>
      </c>
      <c r="G14" s="167" t="s">
        <v>1330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1331</v>
      </c>
      <c r="D5" s="215"/>
      <c r="E5" s="215"/>
      <c r="F5" s="215"/>
      <c r="G5" s="215"/>
      <c r="H5" s="215"/>
      <c r="I5" s="215"/>
      <c r="J5" s="216"/>
      <c r="K5" s="217" t="s">
        <v>1332</v>
      </c>
      <c r="L5" s="218"/>
      <c r="M5" s="218"/>
      <c r="N5" s="218"/>
      <c r="O5" s="219" t="s">
        <v>1333</v>
      </c>
      <c r="P5" s="220"/>
    </row>
    <row r="6" spans="1:16" s="74" customFormat="1" ht="15" customHeight="1">
      <c r="A6" s="66" t="s">
        <v>1334</v>
      </c>
      <c r="B6" s="75" t="s">
        <v>1335</v>
      </c>
      <c r="C6" s="76" t="s">
        <v>992</v>
      </c>
      <c r="D6" s="77" t="s">
        <v>993</v>
      </c>
      <c r="E6" s="76" t="s">
        <v>1336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1337</v>
      </c>
      <c r="M6" s="80" t="s">
        <v>611</v>
      </c>
      <c r="N6" s="81" t="s">
        <v>987</v>
      </c>
      <c r="O6" s="158" t="s">
        <v>1030</v>
      </c>
      <c r="P6" s="133" t="s">
        <v>1338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1</v>
      </c>
      <c r="P154" s="147" t="str">
        <f>IF($A$2=1,IF(SP_SUL!BJ154="","*",SP_SUL!BJ154),IF(SP_SUL!BK154="","*",SP_SUL!BK154))</f>
        <v>TP pronto 10h46 / Em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E17</v>
      </c>
      <c r="F194" s="83" t="str">
        <f>IF(SP_SUL!H194="","*",SP_SUL!H194)</f>
        <v>102ZKW2</v>
      </c>
      <c r="G194" s="83" t="str">
        <f>IF(SP_SUL!M194="","*",SP_SUL!M194)</f>
        <v>ZKE-ZWW</v>
      </c>
      <c r="H194" s="116">
        <f>IF(SP_SUL!K194="","*",SP_SUL!K194)</f>
        <v>81</v>
      </c>
      <c r="I194" s="113">
        <f>IF(SP_SUL!O194="","*",SP_SUL!O194)</f>
        <v>0.375</v>
      </c>
      <c r="J194" s="113">
        <f>IF(SP_SUL!P194="","*",SP_SUL!P194)</f>
        <v>0.16666666666666666</v>
      </c>
      <c r="K194" s="83" t="str">
        <f>IF(SP_SUL!AK194="","*",SP_SUL!AK194)</f>
        <v>102ZKW2</v>
      </c>
      <c r="L194" s="83" t="str">
        <f>IF(SP_SUL!AM194="","*",SP_SUL!AM194)</f>
        <v>ZKE-ZWW</v>
      </c>
      <c r="M194" s="83">
        <f>IF(SP_SUL!AP194="","*",SP_SUL!AP194)</f>
        <v>81</v>
      </c>
      <c r="N194" s="83" t="str">
        <f>IF(SP_SUL!AM194="","*",SP_SUL!AM194)</f>
        <v>ZKE-ZWW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 xml:space="preserve">TURMA FIXA VIA </v>
      </c>
      <c r="F195" s="83" t="str">
        <f>IF(SP_SUL!H195="","*",SP_SUL!H195)</f>
        <v>-</v>
      </c>
      <c r="G195" s="83" t="str">
        <f>IF(SP_SUL!M195="","*",SP_SUL!M195)</f>
        <v>ZEM</v>
      </c>
      <c r="H195" s="116">
        <f>IF(SP_SUL!K195="","*",SP_SUL!K195)</f>
        <v>135</v>
      </c>
      <c r="I195" s="113">
        <f>IF(SP_SUL!O195="","*",SP_SUL!O195)</f>
        <v>0.375</v>
      </c>
      <c r="J195" s="113">
        <f>IF(SP_SUL!P195="","*",SP_SUL!P195)</f>
        <v>6.25E-2</v>
      </c>
      <c r="K195" s="83" t="str">
        <f>IF(SP_SUL!AK195="","*",SP_SUL!AK195)</f>
        <v>-</v>
      </c>
      <c r="L195" s="83" t="str">
        <f>IF(SP_SUL!AM195="","*",SP_SUL!AM195)</f>
        <v>ZEM</v>
      </c>
      <c r="M195" s="83">
        <f>IF(SP_SUL!AP195="","*",SP_SUL!AP195)</f>
        <v>135</v>
      </c>
      <c r="N195" s="83" t="str">
        <f>IF(SP_SUL!AM195="","*",SP_SUL!AM195)</f>
        <v>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1339</v>
      </c>
      <c r="V1" s="226"/>
      <c r="W1" s="226"/>
    </row>
    <row r="2" spans="1:23" ht="15" customHeight="1">
      <c r="A2" s="87" t="s">
        <v>1340</v>
      </c>
      <c r="B2" s="87" t="s">
        <v>1335</v>
      </c>
      <c r="C2" s="87" t="s">
        <v>411</v>
      </c>
      <c r="D2" s="88" t="s">
        <v>992</v>
      </c>
      <c r="E2" s="88" t="s">
        <v>4</v>
      </c>
      <c r="F2" s="88" t="s">
        <v>1334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1341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 t="str">
        <f>IF(SP_SUL!B168="","*",SP_SUL!B168)</f>
        <v>*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>E17</v>
      </c>
      <c r="H191" s="145" t="str">
        <f>IF(SP_SUL!F194="","*",SP_SUL!F194)</f>
        <v>CAMINHÃO DE SOLDA</v>
      </c>
      <c r="I191" s="145" t="str">
        <f>IF(SP_SUL!H194="","*",SP_SUL!H194)</f>
        <v>102ZKW2</v>
      </c>
      <c r="J191" s="145" t="str">
        <f>IF(SP_SUL!I194="","*",SP_SUL!I194)</f>
        <v>102ZKW2</v>
      </c>
      <c r="K191" s="139" t="str">
        <f>IF(SP_SUL!M194="","*",SP_SUL!M194)</f>
        <v>ZKE-ZWW</v>
      </c>
      <c r="L191" s="139" t="str">
        <f>IF(SP_SUL!N194="","*",SP_SUL!N194)</f>
        <v>K83K802</v>
      </c>
      <c r="M191" s="140">
        <f>IF(SP_SUL!J194="","*",SP_SUL!J194)</f>
        <v>55</v>
      </c>
      <c r="N191" s="144">
        <f>IF(SP_SUL!K194="","*",SP_SUL!K194)</f>
        <v>81</v>
      </c>
      <c r="O191" s="144">
        <f>IF(SP_SUL!L194="","*",SP_SUL!L194)</f>
        <v>82</v>
      </c>
      <c r="P191" s="143">
        <f>IF(SP_SUL!O194="","*",SP_SUL!O194)</f>
        <v>0.375</v>
      </c>
      <c r="Q191" s="143">
        <f>IF(SP_SUL!P194="","*",SP_SUL!P194)</f>
        <v>0.16666666666666666</v>
      </c>
      <c r="R191" s="145" t="str">
        <f>IF(SP_SUL!Q194="","*",CONCATENATE(SP_SUL!Q194," ",SP_SUL!R194))</f>
        <v>4 Nº DE SOLDA</v>
      </c>
      <c r="S191" s="145" t="str">
        <f>IF(SP_SUL!V194="","*",SP_SUL!V194)</f>
        <v>Higor</v>
      </c>
      <c r="T191" s="145" t="str">
        <f>IF(SP_SUL!W194="","*",SP_SUL!W194)</f>
        <v>Caminhão de solda</v>
      </c>
      <c r="U191" s="137">
        <f ca="1">_xlfn.XLOOKUP(G191&amp;$U$2,BS_CONTROLE[CHAVE],BS_CONTROLE[Quantidade_11],"-")</f>
        <v>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46061</v>
      </c>
      <c r="G192" s="145" t="str">
        <f>IF(SP_SUL!D195="","*",SP_SUL!D195)</f>
        <v xml:space="preserve">TURMA FIXA VIA 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ZEM</v>
      </c>
      <c r="L192" s="139" t="str">
        <f>IF(SP_SUL!N195="","*",SP_SUL!N195)</f>
        <v>ZEM2</v>
      </c>
      <c r="M192" s="140">
        <f>IF(SP_SUL!J195="","*",SP_SUL!J195)</f>
        <v>55</v>
      </c>
      <c r="N192" s="144">
        <f>IF(SP_SUL!K195="","*",SP_SUL!K195)</f>
        <v>135</v>
      </c>
      <c r="O192" s="144" t="str">
        <f>IF(SP_SUL!L195="","*",SP_SUL!L195)</f>
        <v>-</v>
      </c>
      <c r="P192" s="143">
        <f>IF(SP_SUL!O195="","*",SP_SUL!O195)</f>
        <v>0.375</v>
      </c>
      <c r="Q192" s="143">
        <f>IF(SP_SUL!P195="","*",SP_SUL!P195)</f>
        <v>6.25E-2</v>
      </c>
      <c r="R192" s="145" t="str">
        <f>IF(SP_SUL!Q195="","*",CONCATENATE(SP_SUL!Q195," ",SP_SUL!R195))</f>
        <v>30 M</v>
      </c>
      <c r="S192" s="145" t="str">
        <f>IF(SP_SUL!V195="","*",SP_SUL!V195)</f>
        <v>Felipe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12</v>
      </c>
      <c r="W192" s="137">
        <f ca="1">_xlfn.XLOOKUP(G192&amp;$W$2,BS_CONTROLE[CHAVE],BS_CONTROLE[Quantidade_11],"-")</f>
        <v>1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 t="str">
        <f>IF(SP_SUL!B208="","*",SP_SUL!B208)</f>
        <v>*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 t="str">
        <f>IF(SP_SUL!B209="","*",SP_SUL!B209)</f>
        <v>*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 t="str">
        <f>IF(SP_SUL!B210="","*",SP_SUL!B210)</f>
        <v>*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 t="str">
        <f>IF(SP_SUL!B211="","*",SP_SUL!B211)</f>
        <v>*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1342</v>
      </c>
      <c r="C2" s="121" t="s">
        <v>977</v>
      </c>
      <c r="D2" s="76" t="s">
        <v>979</v>
      </c>
      <c r="E2" s="76" t="s">
        <v>1343</v>
      </c>
      <c r="F2" s="99" t="s">
        <v>1344</v>
      </c>
      <c r="G2" s="76" t="s">
        <v>1345</v>
      </c>
      <c r="H2" s="76" t="s">
        <v>1346</v>
      </c>
      <c r="I2" s="76" t="s">
        <v>1347</v>
      </c>
      <c r="J2" s="76" t="s">
        <v>1348</v>
      </c>
      <c r="K2" s="78" t="s">
        <v>1349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>E17</v>
      </c>
      <c r="E190" s="94" t="str">
        <f>IF(SP_SUL!H194="","*",SP_SUL!H194)</f>
        <v>102ZKW2</v>
      </c>
      <c r="F190" s="100" t="str">
        <f>IF(SP_SUL!M194="","*",SP_SUL!M194)</f>
        <v>ZKE-ZWW</v>
      </c>
      <c r="G190" s="95" t="str">
        <f>IF(SP_SUL!I194="","*",SP_SUL!I194)</f>
        <v>102ZKW2</v>
      </c>
      <c r="H190" s="95" t="str">
        <f>IF(SP_SUL!AB194="","*",SP_SUL!AB194)</f>
        <v>FIXO</v>
      </c>
      <c r="I190" s="95" t="str">
        <f>IF(SP_SUL!AC194="","*",SP_SUL!AC194)</f>
        <v>*</v>
      </c>
      <c r="J190" s="96">
        <f>IF(SP_SUL!AA194="","*",SP_SUL!AA194)</f>
        <v>1</v>
      </c>
      <c r="K190" s="97">
        <f>IF(SP_SUL!AD194="","*",SP_SUL!AD194)</f>
        <v>0.33333333333333331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 xml:space="preserve">TURMA FIXA VIA </v>
      </c>
      <c r="E191" s="94" t="str">
        <f>IF(SP_SUL!H195="","*",SP_SUL!H195)</f>
        <v>-</v>
      </c>
      <c r="F191" s="100" t="str">
        <f>IF(SP_SUL!M195="","*",SP_SUL!M195)</f>
        <v>ZEM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2026-02-06T17:48:43Z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