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70" documentId="8_{B6337239-1A00-434D-AAD0-422EA1FEB5AE}" xr6:coauthVersionLast="47" xr6:coauthVersionMax="47" xr10:uidLastSave="{41563EFF-EB89-431E-B6BC-73ACC99D409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K245" i="12"/>
  <c r="L245" i="12"/>
  <c r="R247" i="1"/>
  <c r="S247" i="1" a="1"/>
  <c r="S247" i="1" s="1"/>
  <c r="D245" i="12" s="1"/>
  <c r="T247" i="1" a="1"/>
  <c r="T247" i="1" s="1"/>
  <c r="E245" i="12" s="1"/>
  <c r="U247" i="1"/>
  <c r="AI247" i="1"/>
  <c r="BB247" i="1" s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4" i="12" s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7" i="1" l="1"/>
  <c r="BE542" i="1"/>
  <c r="AJ255" i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<sst xmlns="http://schemas.openxmlformats.org/spreadsheetml/2006/main" count="5746" uniqueCount="1535">
  <si>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</si>
  <si>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</si>
  <si>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</si>
  <si>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</si>
  <si>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</si>
  <si>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</si>
  <si>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</si>
  <si>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</si>
  <si>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</si>
  <si>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</si>
  <si>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</si>
  <si>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</si>
  <si>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</si>
  <si>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</si>
  <si>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</si>
  <si>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</si>
  <si>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</si>
  <si>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</si>
  <si>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</si>
  <si>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</si>
  <si>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</si>
  <si>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</si>
  <si>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</si>
  <si>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</si>
  <si>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</si>
  <si>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</si>
  <si>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</si>
  <si>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</si>
  <si>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</si>
  <si>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</si>
  <si>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</si>
  <si>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</si>
  <si>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</si>
  <si>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</si>
  <si>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</si>
  <si>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</si>
  <si>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</si>
  <si>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</si>
  <si>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</si>
  <si>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</si>
  <si>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</si>
  <si>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</si>
  <si>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</si>
  <si>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</si>
  <si>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</si>
  <si>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</si>
  <si>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</si>
  <si>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</si>
  <si>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</si>
  <si>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</si>
  <si>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</si>
  <si>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</si>
  <si>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</si>
  <si>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</si>
  <si>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</si>
  <si>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</si>
  <si>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</si>
  <si>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</si>
  <si>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</si>
  <si>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</si>
  <si>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</si>
  <si>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</si>
  <si>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</si>
  <si>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</si>
  <si>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</si>
  <si>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</si>
  <si>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</si>
  <si>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</si>
  <si>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</si>
  <si>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</si>
  <si>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</si>
  <si>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</si>
  <si>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</si>
  <si>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</si>
  <si>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</si>
  <si>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</si>
  <si>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</si>
  <si>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</si>
  <si>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</si>
  <si>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</si>
  <si>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</si>
  <si>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</si>
  <si>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</si>
  <si>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</si>
  <si>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</si>
  <si>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</si>
  <si>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</si>
  <si>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</si>
  <si>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</si>
  <si>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</si>
  <si>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</si>
  <si>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</si>
  <si>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</si>
  <si>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</si>
  <si>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</si>
  <si>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</si>
  <si>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</si>
  <si>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</si>
  <si>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</si>
  <si>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</si>
  <si>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</si>
  <si>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</si>
  <si>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</si>
  <si>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</si>
  <si>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</si>
  <si>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</si>
  <si>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</si>
  <si>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</si>
  <si>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</si>
  <si>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</si>
  <si>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</si>
  <si>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</si>
  <si>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</si>
  <si>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</si>
  <si>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</si>
  <si>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</si>
  <si>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</si>
  <si>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</si>
  <si>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</si>
  <si>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</si>
  <si>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</si>
  <si>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</si>
  <si>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</si>
  <si>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</si>
  <si>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</si>
  <si>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</si>
  <si>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</si>
  <si>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</si>
  <si>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</si>
  <si>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</si>
  <si>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</si>
  <si>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</si>
  <si>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</si>
  <si>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</si>
  <si>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</si>
  <si>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</si>
  <si>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</si>
  <si>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</si>
  <si>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</si>
  <si>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</si>
  <si>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</si>
  <si>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</si>
  <si>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</si>
  <si>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</si>
  <si>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</si>
  <si>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</si>
  <si>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</si>
  <si>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</si>
  <si>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</si>
  <si>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</si>
  <si>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</si>
  <si>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</si>
  <si>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</si>
  <si>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</si>
  <si>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</si>
  <si>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</si>
  <si>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</si>
  <si>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</si>
  <si>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</si>
  <si>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</si>
  <si>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</si>
  <si>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</si>
  <si>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</si>
  <si>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</si>
  <si>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</si>
  <si>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</si>
  <si>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</si>
  <si>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</si>
  <si>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</si>
  <si>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</si>
  <si>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</si>
  <si>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</si>
  <si>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</si>
  <si>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</si>
  <si>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</si>
  <si>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</si>
  <si>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</si>
  <si>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</si>
  <si>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</si>
  <si>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</si>
  <si>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</si>
  <si>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</si>
  <si>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</si>
  <si>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</si>
  <si>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</si>
  <si>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</si>
  <si>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</si>
  <si>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</si>
  <si>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</si>
  <si>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</si>
  <si>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</si>
  <si>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</si>
  <si>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</si>
  <si>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</si>
  <si>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</si>
  <si>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</si>
  <si>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</si>
  <si>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</si>
  <si>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</si>
  <si>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</si>
  <si>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</si>
  <si>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</si>
  <si>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</si>
  <si>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</si>
  <si>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</si>
  <si>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</si>
  <si>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</si>
  <si>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</si>
  <si>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</si>
  <si>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</si>
  <si>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</si>
  <si>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</si>
  <si>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</si>
  <si>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</si>
  <si>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</si>
  <si>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</si>
  <si>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</si>
  <si>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</si>
  <si>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</si>
  <si>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</si>
  <si>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</si>
  <si>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</si>
  <si>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</si>
  <si>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</si>
  <si>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</si>
  <si>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</si>
  <si>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</si>
  <si>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</si>
  <si>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</si>
  <si>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</si>
  <si>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</si>
  <si>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</si>
  <si>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</si>
  <si>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</si>
  <si>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</si>
  <si>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</si>
  <si>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</si>
  <si>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</si>
  <si>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</si>
  <si>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</si>
  <si>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</si>
  <si>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</si>
  <si>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</si>
  <si>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</si>
  <si>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</si>
  <si>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</si>
  <si>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</si>
  <si>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</si>
  <si>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</si>
  <si>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</si>
  <si>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</si>
  <si>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</si>
  <si>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</si>
  <si>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</si>
  <si>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</si>
  <si>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</si>
  <si>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</si>
  <si>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</si>
  <si>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</si>
  <si>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</si>
  <si>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</si>
  <si>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</si>
  <si>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</si>
  <si>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</si>
  <si>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</si>
  <si>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</si>
  <si>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</si>
  <si>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</si>
  <si>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</si>
  <si>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</si>
  <si>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</si>
  <si>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</si>
  <si>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</si>
  <si>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</si>
  <si>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</si>
  <si>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</si>
  <si>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</si>
  <si>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</si>
  <si>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</si>
  <si>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</si>
  <si>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</si>
  <si>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</si>
  <si>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</si>
  <si>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</si>
  <si>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</si>
  <si>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</si>
  <si>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</si>
  <si>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</si>
  <si>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</si>
  <si>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</si>
  <si>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</si>
  <si>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</si>
  <si>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</si>
  <si>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</si>
  <si>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</si>
  <si>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</si>
  <si>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</si>
  <si>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</si>
  <si>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</si>
  <si>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</si>
  <si>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</si>
  <si>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</si>
  <si>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</si>
  <si>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</si>
  <si>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</si>
  <si>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</si>
  <si>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</si>
  <si>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</si>
  <si>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</si>
  <si>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</si>
  <si>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</si>
  <si>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</si>
  <si>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</si>
  <si>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</si>
  <si>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</si>
  <si>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</si>
  <si>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</si>
  <si>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</si>
  <si>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</si>
  <si>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</si>
  <si>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</si>
  <si>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</si>
  <si>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</si>
  <si>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</si>
  <si>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</si>
  <si>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</si>
  <si>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</si>
  <si>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</si>
  <si>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</si>
  <si>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</si>
  <si>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</si>
  <si>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</si>
  <si>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</si>
  <si>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</si>
  <si>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</si>
  <si>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</si>
  <si>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</si>
  <si>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</si>
  <si>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</si>
  <si>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</si>
  <si>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</si>
  <si>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</si>
  <si>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</si>
  <si>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</si>
  <si>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</si>
  <si>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</si>
  <si>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</si>
  <si>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</si>
  <si>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</si>
  <si>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</si>
  <si>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</si>
  <si>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</si>
  <si>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</si>
  <si>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</si>
  <si>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</si>
  <si>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</si>
  <si>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</si>
  <si>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</si>
  <si>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</si>
  <si>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</si>
  <si>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</si>
  <si>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</si>
  <si>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</si>
  <si>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</si>
  <si>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</si>
  <si>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</si>
  <si>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</si>
  <si>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</si>
  <si>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</si>
  <si>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</si>
  <si>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</si>
  <si>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</si>
  <si>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</si>
  <si>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</si>
  <si>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</si>
  <si>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</si>
  <si>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</si>
  <si>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</si>
  <si>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</si>
  <si>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</si>
  <si>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</si>
  <si>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</si>
  <si>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</si>
  <si>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</si>
  <si>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</si>
  <si>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</si>
  <si>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</si>
  <si>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</si>
  <si>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</si>
  <si>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</si>
  <si>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</si>
  <si>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</si>
  <si>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</si>
  <si>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</si>
  <si>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</si>
  <si>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</si>
  <si>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</si>
  <si>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</si>
  <si>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</si>
  <si>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</si>
  <si>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</si>
  <si>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</si>
  <si>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</si>
  <si>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</si>
  <si>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</si>
  <si>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</si>
  <si>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</si>
  <si>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</si>
  <si>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</si>
  <si>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</si>
  <si>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</si>
  <si>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</si>
  <si>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</si>
  <si>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</si>
  <si>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</si>
  <si>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</si>
  <si>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</si>
  <si>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</si>
  <si>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</si>
  <si>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</si>
  <si>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</si>
  <si>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</si>
  <si>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</si>
  <si>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</si>
  <si>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</si>
  <si>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</si>
  <si>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</si>
  <si>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</si>
  <si>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</si>
  <si>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</si>
  <si>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</si>
  <si>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</si>
  <si>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</si>
  <si>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</si>
  <si>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</si>
  <si>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</si>
  <si>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</si>
  <si>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</si>
  <si>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</si>
  <si>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</si>
  <si>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</si>
  <si>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</si>
  <si>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</si>
  <si>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</si>
  <si>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</si>
  <si>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</si>
  <si>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</si>
  <si>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</si>
  <si>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</si>
  <si>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</si>
  <si>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</si>
  <si>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</si>
  <si>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</si>
  <si>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</si>
  <si>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</si>
  <si>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</si>
  <si>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</si>
  <si>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</si>
  <si>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</si>
  <si>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</si>
  <si>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</si>
  <si>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</si>
  <si>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</si>
  <si>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</si>
  <si>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</si>
  <si>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</si>
  <si>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</si>
  <si>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</si>
  <si>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</si>
  <si>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</si>
  <si>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</si>
  <si>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</si>
  <si>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</si>
  <si>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</si>
  <si>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</si>
  <si>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</si>
  <si>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</si>
  <si>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</si>
  <si>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</si>
  <si>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</si>
  <si>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</si>
  <si>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</si>
  <si>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</si>
  <si>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</si>
  <si>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</si>
  <si>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</si>
  <si>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</si>
  <si>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</si>
  <si>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</si>
  <si>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</si>
  <si>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</si>
  <si>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</si>
  <si>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</si>
  <si>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</si>
  <si>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</si>
  <si>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</si>
  <si>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</si>
  <si>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</si>
  <si>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</si>
  <si>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</si>
  <si>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</si>
  <si>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</si>
  <si>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</si>
  <si>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</si>
  <si>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</si>
  <si>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</si>
  <si>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</si>
  <si>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</si>
  <si>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</si>
  <si>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</si>
  <si>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</si>
  <si>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</si>
  <si>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</si>
  <si>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</si>
  <si>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</si>
  <si>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</si>
  <si>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</si>
  <si>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</si>
  <si>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</si>
  <si>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</si>
  <si>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</si>
  <si>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</si>
  <si>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</si>
  <si>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</si>
  <si>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</si>
  <si>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</si>
  <si>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</si>
  <si>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</si>
  <si>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</si>
  <si>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</si>
  <si>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</si>
  <si>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</si>
  <si>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</si>
  <si>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</si>
  <si>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</si>
  <si>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</si>
  <si>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</si>
  <si>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</si>
  <si>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</si>
  <si>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</si>
  <si>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</si>
  <si>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</si>
  <si>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</si>
  <si>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</si>
  <si>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</si>
  <si>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</si>
  <si>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</si>
  <si>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</si>
  <si>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</si>
  <si>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</si>
  <si>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</si>
  <si>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</si>
  <si>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</si>
  <si>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</si>
  <si>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</si>
  <si>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</si>
  <si>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</si>
  <si>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</si>
  <si>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</si>
  <si>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</si>
  <si>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</si>
  <si>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</si>
  <si>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</si>
  <si>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</si>
  <si>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</si>
  <si>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</si>
  <si>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</si>
  <si>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</si>
  <si>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</si>
  <si>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</si>
  <si>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</si>
  <si>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</si>
  <si>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</si>
  <si>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</si>
  <si>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</si>
  <si>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</si>
  <si>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</si>
  <si>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</si>
  <si>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</si>
  <si>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</si>
  <si>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</si>
  <si>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</si>
  <si>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</si>
  <si>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</si>
  <si>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</si>
  <si>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</si>
  <si>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</si>
  <si>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</si>
  <si>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</si>
  <si>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</si>
  <si>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</si>
  <si>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</si>
  <si>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</si>
  <si>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</si>
  <si>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</si>
  <si>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</si>
  <si>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</si>
  <si>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</si>
  <si>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</si>
  <si>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</si>
  <si>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</si>
  <si>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</si>
  <si>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</si>
  <si>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</si>
  <si>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</si>
  <si>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</si>
  <si>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</si>
  <si>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</si>
  <si>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</si>
  <si>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</si>
  <si>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</si>
  <si>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</si>
  <si>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</si>
  <si>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</si>
  <si>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</si>
  <si>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</si>
  <si>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</si>
  <si>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</si>
  <si>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</si>
  <si>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</si>
  <si>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</si>
  <si>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</si>
  <si>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</si>
  <si>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</si>
  <si>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</si>
  <si>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</si>
  <si>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</si>
  <si>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</si>
  <si>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</si>
  <si>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</si>
  <si>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</si>
  <si>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</si>
  <si>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</si>
  <si>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</si>
  <si>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</si>
  <si>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</si>
  <si>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</si>
  <si>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</si>
  <si>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</si>
  <si>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</si>
  <si>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</si>
  <si>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</si>
  <si>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</si>
  <si>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</si>
  <si>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</si>
  <si>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</si>
  <si>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</si>
  <si>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</si>
  <si>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</si>
  <si>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</si>
  <si>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</si>
  <si>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</si>
  <si>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</si>
  <si>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</si>
  <si>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</si>
  <si>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</si>
  <si>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</si>
  <si>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</si>
  <si>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</si>
  <si>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</si>
  <si>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</si>
  <si>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</si>
  <si>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</si>
  <si>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</si>
  <si>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</si>
  <si>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</si>
  <si>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</si>
  <si>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</si>
  <si>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</si>
  <si>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</si>
  <si>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</si>
  <si>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</si>
  <si>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</si>
  <si>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</si>
  <si>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</si>
  <si>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</si>
  <si>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</si>
  <si>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</si>
  <si>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</si>
  <si>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</si>
  <si>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</si>
  <si>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</si>
  <si>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</si>
  <si>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</si>
  <si>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</si>
  <si>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</si>
  <si>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</si>
  <si>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</si>
  <si>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</si>
  <si>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</si>
  <si>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</si>
  <si>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</si>
  <si>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</si>
  <si>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</si>
  <si>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</si>
  <si>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</si>
  <si>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</si>
  <si>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</si>
  <si>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</si>
  <si>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</si>
  <si>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</si>
  <si>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</si>
  <si>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</si>
  <si>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</si>
  <si>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</si>
  <si>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</si>
  <si>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</si>
  <si>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</si>
  <si>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</si>
  <si>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</si>
  <si>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</si>
  <si>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</si>
  <si>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</si>
  <si>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</si>
  <si>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</si>
  <si>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</si>
  <si>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</si>
  <si>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</si>
  <si>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</si>
  <si>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</si>
  <si>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</si>
  <si>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</si>
  <si>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</si>
  <si>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</si>
  <si>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</si>
  <si>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</si>
  <si>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</si>
  <si>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</si>
  <si>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</si>
  <si>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</si>
  <si>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</si>
  <si>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</si>
  <si>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</si>
  <si>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</si>
  <si>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</si>
  <si>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</si>
  <si>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</si>
  <si>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</si>
  <si>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</si>
  <si>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</si>
  <si>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</si>
  <si>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</si>
  <si>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</si>
  <si>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</si>
  <si>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</si>
  <si>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</si>
  <si>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</si>
  <si>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</si>
  <si>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</si>
  <si>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</si>
  <si>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</si>
  <si>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</si>
  <si>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</si>
  <si>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</si>
  <si>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</si>
  <si>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</si>
  <si>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</si>
  <si>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</si>
  <si>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</si>
  <si>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</si>
  <si>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</si>
  <si>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</si>
  <si>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</si>
  <si>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</si>
  <si>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</si>
  <si>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</si>
  <si>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</si>
  <si>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</si>
  <si>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</si>
  <si>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</si>
  <si>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</si>
  <si>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</si>
  <si>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</si>
  <si>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</si>
  <si>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</si>
  <si>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</si>
  <si>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</si>
  <si>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</si>
  <si>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</si>
  <si>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</si>
  <si>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</si>
  <si>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</si>
  <si>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</si>
  <si>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</si>
  <si>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</si>
  <si>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</si>
  <si>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</si>
  <si>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</si>
  <si>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</si>
  <si>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</si>
  <si>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</si>
  <si>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</si>
  <si>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</si>
  <si>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</si>
  <si>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</si>
  <si>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</si>
  <si>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</si>
  <si>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</si>
  <si>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</si>
  <si>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</si>
  <si>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</si>
  <si>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</si>
  <si>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</si>
  <si>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</si>
  <si>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</si>
  <si>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</si>
  <si>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</si>
  <si>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</si>
  <si>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</si>
  <si>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</si>
  <si>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</si>
  <si>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</si>
  <si>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</si>
  <si>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</si>
  <si>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</si>
  <si>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</si>
  <si>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</si>
  <si>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</si>
  <si>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</si>
  <si>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</si>
  <si>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</si>
  <si>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</si>
  <si>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</si>
  <si>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</si>
  <si>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</si>
  <si>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</si>
  <si>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</si>
  <si>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</si>
  <si>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</si>
  <si>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</si>
  <si>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</si>
  <si>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</si>
  <si>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</si>
  <si>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</si>
  <si>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</si>
  <si>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</si>
  <si>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</si>
  <si>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</si>
  <si>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</si>
  <si>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</si>
  <si>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</si>
  <si>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</si>
  <si>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</si>
  <si>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</si>
  <si>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</si>
  <si>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</si>
  <si>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</si>
  <si>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</si>
  <si>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</si>
  <si>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</si>
  <si>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</si>
  <si>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</si>
  <si>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</si>
  <si>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</si>
  <si>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</si>
  <si>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</si>
  <si>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</si>
  <si>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</si>
  <si>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</si>
  <si>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</si>
  <si>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</si>
  <si>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</si>
  <si>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</si>
  <si>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</si>
  <si>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</si>
  <si>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</si>
  <si>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</si>
  <si>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</si>
  <si>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</si>
  <si>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</si>
  <si>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</si>
  <si>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</si>
  <si>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</si>
  <si>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</si>
  <si>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</si>
  <si>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</si>
  <si>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</si>
  <si>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</si>
  <si>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</si>
  <si>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</si>
  <si>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</si>
  <si>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</si>
  <si>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</si>
  <si>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</si>
  <si>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</si>
  <si>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</si>
  <si>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</si>
  <si>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</si>
  <si>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</si>
  <si>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</si>
  <si>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</si>
  <si>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</si>
  <si>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</si>
  <si>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</si>
  <si>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</si>
  <si>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</si>
  <si>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</si>
  <si>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</si>
  <si>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</si>
  <si>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</si>
  <si>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</si>
  <si>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</si>
  <si>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</si>
  <si>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</si>
  <si>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</si>
  <si>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</si>
  <si>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</si>
  <si>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</si>
  <si>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</si>
  <si>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</si>
  <si>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</si>
  <si>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</si>
  <si>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</si>
  <si>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</si>
  <si>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</si>
  <si>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</si>
  <si>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</si>
  <si>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</si>
  <si>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</si>
  <si>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</si>
  <si>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</si>
  <si>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</si>
  <si>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</si>
  <si>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</si>
  <si>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</si>
  <si>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</si>
  <si>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</si>
  <si>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</si>
  <si>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</si>
  <si>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</si>
  <si>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</si>
  <si>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</si>
  <si>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</si>
  <si>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</si>
  <si>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</si>
  <si>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</si>
  <si>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</si>
  <si>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</si>
  <si>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</si>
  <si>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</si>
  <si>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</si>
  <si>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</si>
  <si>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</si>
  <si>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</si>
  <si>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</si>
  <si>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</si>
  <si>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</si>
  <si>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</si>
  <si>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</si>
  <si>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</si>
  <si>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</si>
  <si>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</si>
  <si>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</si>
  <si>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</si>
  <si>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</si>
  <si>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</si>
  <si>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</si>
  <si>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</si>
  <si>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</si>
  <si>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</si>
  <si>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</si>
  <si>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</si>
  <si>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</si>
  <si>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</si>
  <si>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</si>
  <si>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</si>
  <si>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</si>
  <si>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</si>
  <si>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</si>
  <si>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</si>
  <si>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</si>
  <si>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</si>
  <si>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</si>
  <si>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</si>
  <si>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</si>
  <si>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</si>
  <si>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</si>
  <si>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</si>
  <si>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</si>
  <si>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</si>
  <si>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</si>
  <si>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</si>
  <si>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</si>
  <si>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</si>
  <si>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</si>
  <si>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</si>
  <si>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</si>
  <si>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</si>
  <si>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</si>
  <si>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</si>
  <si>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</si>
  <si>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</si>
  <si>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</si>
  <si>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</si>
  <si>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</si>
  <si>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</si>
  <si>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</si>
  <si>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</si>
  <si>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</si>
  <si>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</si>
  <si>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</si>
  <si>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</si>
  <si>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</si>
  <si>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</si>
  <si>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</si>
  <si>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</si>
  <si>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</si>
  <si>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</si>
  <si>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</si>
  <si>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</si>
  <si>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</si>
  <si>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</si>
  <si>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</si>
  <si>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</si>
  <si>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</si>
  <si>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</si>
  <si>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</si>
  <si>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</si>
  <si>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</si>
  <si>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</si>
  <si>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</si>
  <si>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</si>
  <si>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</si>
  <si>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</si>
  <si>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</si>
  <si>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</si>
  <si>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</si>
  <si>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</si>
  <si>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</si>
  <si>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</si>
  <si>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</si>
  <si>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</si>
  <si>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</si>
  <si>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</si>
  <si>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</si>
  <si>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</si>
  <si>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</si>
  <si>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</si>
  <si>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</si>
  <si>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</si>
  <si>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</si>
  <si>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</si>
  <si>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</si>
  <si>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</si>
  <si>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</si>
  <si>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</si>
  <si>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</si>
  <si>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</si>
  <si>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</si>
  <si>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</si>
  <si>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</si>
  <si>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</si>
  <si>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</si>
  <si>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</si>
  <si>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</si>
  <si>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</si>
  <si>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</si>
  <si>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</si>
  <si>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</si>
  <si>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</si>
  <si>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</si>
  <si>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</si>
  <si>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</si>
  <si>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</si>
  <si>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</si>
  <si>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</si>
  <si>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</si>
  <si>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</si>
  <si>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</si>
  <si>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</si>
  <si>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</si>
  <si>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</si>
  <si>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</si>
  <si>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</si>
  <si>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</si>
  <si>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</si>
  <si>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</si>
  <si>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</si>
  <si>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</si>
  <si>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</si>
  <si>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</si>
  <si>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</si>
  <si>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</si>
  <si>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</si>
  <si>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</si>
  <si>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</si>
  <si>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</si>
  <si>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</si>
  <si>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</si>
  <si>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</si>
  <si>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</si>
  <si>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</si>
  <si>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</si>
  <si>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</si>
  <si>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</si>
  <si>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</si>
  <si>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</si>
  <si>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</si>
  <si>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</si>
  <si>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</si>
  <si>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</si>
  <si>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</si>
  <si>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</si>
  <si>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</si>
  <si>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</si>
  <si>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</si>
  <si>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</si>
  <si>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</si>
  <si>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</si>
  <si>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</si>
  <si>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</si>
  <si>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</si>
  <si>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</si>
  <si>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</si>
  <si>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</si>
  <si>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</si>
  <si>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</si>
  <si>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</si>
  <si>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</si>
  <si>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</si>
  <si>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</si>
  <si>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</si>
  <si>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</si>
  <si>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</si>
  <si>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</si>
  <si>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</si>
  <si>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</si>
  <si>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</si>
  <si>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</si>
  <si>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</si>
  <si>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</si>
  <si>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</si>
  <si>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</si>
  <si>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</si>
  <si>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</si>
  <si>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</si>
  <si>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</si>
  <si>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</si>
  <si>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</si>
  <si>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</si>
  <si>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</si>
  <si>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</si>
  <si>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</si>
  <si>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</si>
  <si>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</si>
  <si>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</si>
  <si>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</si>
  <si>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</si>
  <si>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</si>
  <si>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</si>
  <si>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</si>
  <si>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</si>
  <si>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</si>
  <si>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</si>
  <si>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</si>
  <si>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</si>
  <si>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</si>
  <si>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</si>
  <si>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</si>
  <si>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</si>
  <si>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</si>
  <si>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</si>
  <si>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</si>
  <si>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</si>
  <si>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</si>
  <si>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</si>
  <si>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</si>
  <si>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</si>
  <si>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</si>
  <si>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</si>
  <si>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</si>
  <si>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</si>
  <si>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</si>
  <si>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</si>
  <si>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</si>
  <si>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</si>
  <si>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</si>
  <si>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</si>
  <si>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</si>
  <si>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</si>
  <si>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</si>
  <si>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</si>
  <si>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</si>
  <si>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</si>
  <si>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</si>
  <si>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</si>
  <si>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</si>
  <si>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</si>
  <si>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</si>
  <si>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</si>
  <si>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</si>
  <si>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</si>
  <si>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</si>
  <si>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</si>
  <si>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</si>
  <si>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</si>
  <si>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</si>
  <si>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</si>
  <si>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</si>
  <si>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</si>
  <si>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</si>
  <si>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</si>
  <si>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</si>
  <si>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</si>
  <si>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</si>
  <si>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</si>
  <si>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</si>
  <si>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</si>
  <si>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</si>
  <si>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</si>
  <si>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</si>
  <si>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</si>
  <si>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</si>
  <si>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</si>
  <si>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</si>
  <si>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</si>
  <si>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</si>
  <si>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</si>
  <si>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</si>
  <si>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</si>
  <si>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</si>
  <si>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</si>
  <si>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</si>
  <si>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</si>
  <si>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</si>
  <si>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</si>
  <si>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</si>
  <si>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</si>
  <si>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</si>
  <si>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</si>
  <si>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</si>
  <si>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</si>
  <si>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</si>
  <si>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</si>
  <si>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</si>
  <si>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</si>
  <si>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</si>
  <si>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</si>
  <si>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</si>
  <si>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</si>
  <si>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</si>
  <si>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</si>
  <si>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</si>
  <si>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</si>
  <si>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</si>
  <si>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</si>
  <si>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</si>
  <si>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</si>
  <si>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</si>
  <si>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</si>
  <si>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</si>
  <si>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</si>
  <si>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</si>
  <si>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</si>
  <si>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</si>
  <si>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</si>
  <si>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</si>
  <si>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</si>
  <si>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</si>
  <si>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</si>
  <si>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</si>
  <si>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</si>
  <si>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</si>
  <si>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</si>
  <si>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</si>
  <si>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</si>
  <si>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</si>
  <si>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</si>
  <si>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</si>
  <si>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</si>
  <si>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</si>
  <si>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</si>
  <si>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</si>
  <si>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</si>
  <si>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</si>
  <si>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</si>
  <si>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</si>
  <si>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</si>
  <si>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</si>
  <si>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</si>
  <si>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</si>
  <si>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</si>
  <si>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</si>
  <si>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</si>
  <si>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</si>
  <si>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</si>
  <si>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</si>
  <si>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</si>
  <si>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</si>
  <si>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</si>
  <si>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</si>
  <si>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</si>
  <si>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</si>
  <si>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</si>
  <si>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</si>
  <si>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</si>
  <si>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</si>
  <si>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</si>
  <si>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</si>
  <si>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</si>
  <si>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</si>
  <si>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</si>
  <si>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</si>
  <si>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</si>
  <si>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</si>
  <si>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</si>
  <si>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</si>
  <si>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</si>
  <si>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</si>
  <si>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</si>
  <si>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</si>
  <si>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</si>
  <si>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</si>
  <si>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</si>
  <si>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</si>
  <si>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</si>
  <si>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</si>
  <si>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</si>
  <si>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</si>
  <si>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</si>
  <si>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</si>
  <si>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</si>
  <si>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</si>
  <si>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</si>
  <si>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</si>
  <si>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</si>
  <si>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</si>
  <si>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</si>
  <si>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</si>
  <si>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</si>
  <si>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</si>
  <si>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</si>
  <si>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</si>
  <si>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</si>
  <si>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</si>
  <si>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</si>
  <si>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</si>
  <si>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</si>
  <si>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</si>
  <si>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</si>
  <si>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</si>
  <si>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</si>
  <si>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</si>
  <si>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</si>
  <si>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</si>
  <si>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</si>
  <si>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</si>
  <si>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</si>
  <si>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</si>
  <si>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</si>
  <si>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</si>
  <si>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</si>
  <si>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</si>
  <si>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</si>
  <si>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</si>
  <si>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</si>
  <si>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</si>
  <si>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</si>
  <si>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</si>
  <si>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</si>
  <si>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</si>
  <si>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</si>
  <si>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</si>
  <si>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</si>
  <si>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</si>
  <si>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</si>
  <si>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</si>
  <si>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</si>
  <si>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</si>
  <si>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</si>
  <si>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</si>
  <si>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</si>
  <si>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</si>
  <si>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</si>
  <si>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</si>
  <si>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</si>
  <si>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</si>
  <si>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</si>
  <si>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</si>
  <si>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</si>
  <si>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</si>
  <si>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</si>
  <si>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</si>
  <si>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</si>
  <si>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</si>
  <si>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</si>
  <si>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</si>
  <si>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</si>
  <si>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</si>
  <si>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</si>
  <si>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</si>
  <si>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</si>
  <si>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</si>
  <si>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</si>
  <si>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</si>
  <si>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</si>
  <si>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</si>
  <si>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</si>
  <si>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</si>
  <si>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</si>
  <si>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</si>
  <si>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</si>
  <si>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</si>
  <si>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</si>
  <si>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</si>
  <si>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</si>
  <si>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</si>
  <si>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</si>
  <si>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</si>
  <si>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</si>
  <si>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</si>
  <si>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</si>
  <si>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</si>
  <si>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</si>
  <si>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</si>
  <si>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</si>
  <si>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</si>
  <si>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</si>
  <si>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</si>
  <si>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</si>
  <si>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</si>
  <si>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</si>
  <si>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</si>
  <si>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</si>
  <si>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</si>
  <si>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</si>
  <si>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</si>
  <si>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</si>
  <si>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</si>
  <si>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</si>
  <si>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</si>
  <si>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</si>
  <si>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</si>
  <si>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</si>
  <si>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</si>
  <si>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</si>
  <si>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</si>
  <si>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</si>
  <si>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</si>
  <si>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</si>
  <si>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</si>
  <si>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</si>
  <si>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</si>
  <si>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</si>
  <si>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</si>
  <si>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</si>
  <si>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</si>
  <si>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</si>
  <si>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</si>
  <si>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</si>
  <si>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</si>
  <si>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</si>
  <si>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</si>
  <si>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</si>
  <si>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</si>
  <si>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</si>
  <si>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</si>
  <si>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</si>
  <si>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</si>
  <si>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</si>
  <si>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</si>
  <si>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</si>
  <si>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</si>
  <si>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</si>
  <si>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</si>
  <si>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</si>
  <si>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</si>
  <si>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</si>
  <si>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</si>
  <si>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</si>
  <si>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</si>
  <si>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</si>
  <si>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</si>
  <si>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Desacrga de pedro do km 719 ao 717 - e desloca pra TGR</t>
  </si>
  <si>
    <t>TGRNorte</t>
  </si>
  <si>
    <t>Troca de jacaré - AMV TGR norte</t>
  </si>
  <si>
    <t>Descarga km 206 ao 201</t>
  </si>
  <si>
    <t>TMI-TIN</t>
  </si>
  <si>
    <t>TMITIN</t>
  </si>
  <si>
    <t>E48</t>
  </si>
  <si>
    <t>ZPG</t>
  </si>
  <si>
    <t>ZTP-ZPG</t>
  </si>
  <si>
    <t>Desloca de ZTP para ZPG - desanexa 2 C30 avariadas  em ZRX</t>
  </si>
  <si>
    <t>1(Nivaldo e Nilton)</t>
  </si>
  <si>
    <t>Zilmar</t>
  </si>
  <si>
    <t>Inspeção auto de linha</t>
  </si>
  <si>
    <t>Lewender</t>
  </si>
  <si>
    <t>ZRL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</si>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</sst>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43" activePane="bottomRight" state="frozen"/>
      <selection pane="bottomRight" activeCell="L252" sqref="L2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1135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1136</v>
      </c>
      <c r="BI1" s="363"/>
      <c r="BJ1" s="364"/>
      <c r="BK1" s="365"/>
      <c r="BL1" s="49"/>
      <c r="BM1" s="355" t="s">
        <v>1137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8" t="s">
        <v>1138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1141</v>
      </c>
      <c r="AT2" s="360"/>
      <c r="AU2" s="360"/>
      <c r="AV2" s="360"/>
      <c r="AW2" s="360"/>
      <c r="AX2" s="359"/>
      <c r="AY2" s="361"/>
      <c r="AZ2" s="4"/>
      <c r="BA2" s="352" t="s">
        <v>1142</v>
      </c>
      <c r="BB2" s="354"/>
      <c r="BC2" s="358" t="s">
        <v>1139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52" t="s">
        <v>1143</v>
      </c>
      <c r="AJ3" s="354"/>
      <c r="AK3" s="352" t="s">
        <v>1144</v>
      </c>
      <c r="AL3" s="353"/>
      <c r="AM3" s="353"/>
      <c r="AN3" s="353"/>
      <c r="AO3" s="353"/>
      <c r="AP3" s="353"/>
      <c r="AQ3" s="354"/>
      <c r="AR3" s="235"/>
      <c r="AS3" s="376" t="s">
        <v>1150</v>
      </c>
      <c r="AT3" s="377"/>
      <c r="AU3" s="376" t="s">
        <v>1151</v>
      </c>
      <c r="AV3" s="377"/>
      <c r="AW3" s="376" t="s">
        <v>1152</v>
      </c>
      <c r="AX3" s="378"/>
      <c r="AY3" s="63" t="s">
        <v>1153</v>
      </c>
      <c r="AZ3" s="63"/>
      <c r="BA3" s="374"/>
      <c r="BB3" s="375"/>
      <c r="BC3" s="352" t="s">
        <v>1146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1154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1449</v>
      </c>
      <c r="BK209" s="16" t="s">
        <v>1450</v>
      </c>
      <c r="BL209" s="15"/>
      <c r="BM209" s="14" t="s">
        <v>993</v>
      </c>
      <c r="BN209" s="14" t="s">
        <v>993</v>
      </c>
      <c r="BO209" s="160" t="s">
        <v>993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1452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1453</v>
      </c>
      <c r="BK211" s="16" t="s">
        <v>1454</v>
      </c>
      <c r="BL211" s="15"/>
      <c r="BM211" s="14" t="s">
        <v>993</v>
      </c>
      <c r="BN211" s="14" t="s">
        <v>993</v>
      </c>
      <c r="BO211" s="160" t="s">
        <v>993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1455</v>
      </c>
      <c r="BK212" s="16" t="s">
        <v>1456</v>
      </c>
      <c r="BL212" s="15"/>
      <c r="BM212" s="14" t="s">
        <v>993</v>
      </c>
      <c r="BN212" s="14" t="s">
        <v>993</v>
      </c>
      <c r="BO212" s="160" t="s">
        <v>993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1457</v>
      </c>
      <c r="BK213" s="16" t="s">
        <v>1458</v>
      </c>
      <c r="BL213" s="15"/>
      <c r="BM213" s="14" t="s">
        <v>989</v>
      </c>
      <c r="BN213" s="14" t="s">
        <v>1018</v>
      </c>
      <c r="BO213" s="160" t="s">
        <v>1070</v>
      </c>
      <c r="BP213" s="16" t="s">
        <v>1459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1460</v>
      </c>
      <c r="N214" s="199" t="s">
        <v>1460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1461</v>
      </c>
      <c r="BK214" s="16" t="s">
        <v>1462</v>
      </c>
      <c r="BL214" s="15"/>
      <c r="BM214" s="14" t="s">
        <v>993</v>
      </c>
      <c r="BN214" s="14" t="s">
        <v>993</v>
      </c>
      <c r="BO214" s="160" t="s">
        <v>993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1463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1464</v>
      </c>
      <c r="BK216" s="16" t="s">
        <v>1465</v>
      </c>
      <c r="BL216" s="15"/>
      <c r="BM216" s="14" t="s">
        <v>993</v>
      </c>
      <c r="BN216" s="14" t="s">
        <v>993</v>
      </c>
      <c r="BO216" s="160" t="s">
        <v>993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1466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1467</v>
      </c>
      <c r="BK219" s="16" t="s">
        <v>1468</v>
      </c>
      <c r="BL219" s="15"/>
      <c r="BM219" s="14" t="s">
        <v>991</v>
      </c>
      <c r="BN219" s="14" t="s">
        <v>1005</v>
      </c>
      <c r="BO219" s="160" t="s">
        <v>1124</v>
      </c>
      <c r="BP219" s="16" t="s">
        <v>1468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1469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1470</v>
      </c>
      <c r="BK222" s="16" t="s">
        <v>1471</v>
      </c>
      <c r="BL222" s="15"/>
      <c r="BM222" s="14" t="s">
        <v>993</v>
      </c>
      <c r="BN222" s="14" t="s">
        <v>993</v>
      </c>
      <c r="BO222" s="160" t="s">
        <v>993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LEÔNCIO (TF-526)46035</v>
      </c>
      <c r="B223" s="166">
        <v>46035</v>
      </c>
      <c r="C223" s="8">
        <f>IF(BS_CONTROLE[[#This Row],[DATA]]="","",WEEKNUM(BS_CONTROLE[[#This Row],[DATA]]))</f>
        <v>3</v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e">
        <f t="shared" si="23"/>
        <v>#DIV/0!</v>
      </c>
      <c r="BR223" s="18" t="e">
        <f t="shared" si="24"/>
        <v>#DIV/0!</v>
      </c>
      <c r="BS223" s="18" t="e">
        <f t="shared" si="25"/>
        <v>#DIV/0!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434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1335</v>
      </c>
      <c r="W227" s="168" t="s">
        <v>1472</v>
      </c>
      <c r="X227" s="213" t="s">
        <v>964</v>
      </c>
      <c r="Y227" s="153" t="s">
        <v>963</v>
      </c>
      <c r="Z227" s="153"/>
      <c r="AA227" s="83">
        <v>2</v>
      </c>
      <c r="AB227" s="70" t="s">
        <v>966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1226</v>
      </c>
      <c r="W230" s="324" t="s">
        <v>1448</v>
      </c>
      <c r="X230" s="213" t="s">
        <v>964</v>
      </c>
      <c r="Y230" s="153" t="s">
        <v>963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 t="s">
        <v>1473</v>
      </c>
      <c r="X233" s="213" t="s">
        <v>964</v>
      </c>
      <c r="Y233" s="153" t="s">
        <v>963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1474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 t="s">
        <v>1475</v>
      </c>
      <c r="X234" s="213" t="s">
        <v>969</v>
      </c>
      <c r="Y234" s="153" t="s">
        <v>963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 t="s">
        <v>969</v>
      </c>
      <c r="Y235" s="153" t="s">
        <v>963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1476</v>
      </c>
      <c r="X236" s="213" t="s">
        <v>964</v>
      </c>
      <c r="Y236" s="153" t="s">
        <v>963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 t="s">
        <v>964</v>
      </c>
      <c r="Y243" s="153" t="s">
        <v>963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1466</v>
      </c>
      <c r="X245" s="213" t="s">
        <v>969</v>
      </c>
      <c r="Y245" s="153" t="s">
        <v>972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>A6046035</v>
      </c>
      <c r="B247" s="166">
        <v>46035</v>
      </c>
      <c r="C247" s="8">
        <f>IF(BS_CONTROLE[[#This Row],[DATA]]="","",WEEKNUM(BS_CONTROLE[[#This Row],[DATA]]))</f>
        <v>3</v>
      </c>
      <c r="D247" s="51" t="s">
        <v>107</v>
      </c>
      <c r="E247" s="314">
        <v>246</v>
      </c>
      <c r="F247" s="167" t="s">
        <v>33</v>
      </c>
      <c r="G247" s="9" t="str">
        <f>IF(D247="","*",VLOOKUP(F247,BS_ATIVIDADE[#All],3,FALSE))</f>
        <v>DETECÇÃO</v>
      </c>
      <c r="H247" s="168" t="s">
        <v>1286</v>
      </c>
      <c r="I247" s="168" t="s">
        <v>585</v>
      </c>
      <c r="J247" s="212">
        <v>74</v>
      </c>
      <c r="K247" s="212">
        <v>1</v>
      </c>
      <c r="L247" s="83">
        <v>109</v>
      </c>
      <c r="M247" s="199" t="s">
        <v>1477</v>
      </c>
      <c r="N247" s="199" t="s">
        <v>1478</v>
      </c>
      <c r="O247" s="168">
        <v>0.375</v>
      </c>
      <c r="P247" s="168">
        <v>4.1666666666666664E-2</v>
      </c>
      <c r="Q247" s="83">
        <v>1</v>
      </c>
      <c r="R247" s="10" t="str">
        <f>IFERROR(_xlfn.XLOOKUP(F247, BS_ATIVIDADE[ATIVIDADE],BS_ATIVIDADE[UNIDADE] ), "*")</f>
        <v>KM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80" t="str">
        <f>IFERROR(_xlfn.XLOOKUP(J247, BASE_MAPA!$E$2:$E$359, BASE_MAPA!$J$2:$J$359), "ERRO")</f>
        <v>MARCO INICIAL - ALTO ARAGUAIA</v>
      </c>
      <c r="V247" s="193" t="s">
        <v>1313</v>
      </c>
      <c r="W247" s="168" t="s">
        <v>1288</v>
      </c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DETECÇÃO - RONDA 7 DIAS</v>
      </c>
      <c r="AJ247" s="9" t="str">
        <f>IF(D247="","*",VLOOKUP(AI247,BS_ATIVIDADE[#Data],3,FALSE))</f>
        <v>DETECÇÃO</v>
      </c>
      <c r="AK247" s="279" t="str">
        <f>IF(BS_CONTROLE[[#This Row],[Local - Partida]]=0, "-", BS_CONTROLE[[#This Row],[Local - Partida]])</f>
        <v>TMI</v>
      </c>
      <c r="AL247" s="279" t="str">
        <f>IF(BS_CONTROLE[[#This Row],[Local - Encerramento]]=0, "-", BS_CONTROLE[[#This Row],[Local - Encerramento]])</f>
        <v>TIN</v>
      </c>
      <c r="AM247" s="279" t="str">
        <f>IF(BS_CONTROLE[[#This Row],[Entre - Estações]]=0, "-", BS_CONTROLE[[#This Row],[Entre - Estações]])</f>
        <v>TMI-TIN</v>
      </c>
      <c r="AN247" s="279" t="str">
        <f>IF(BS_CONTROLE[[#This Row],[SB]]=0, "-", BS_CONTROLE[[#This Row],[SB]])</f>
        <v>TMITIN</v>
      </c>
      <c r="AO247" s="280">
        <f>IF(BS_CONTROLE[[#This Row],[SUB]]=0, "-", BS_CONTROLE[[#This Row],[SUB]])</f>
        <v>74</v>
      </c>
      <c r="AP247" s="281">
        <f>IF(BS_CONTROLE[[#This Row],[KM - Inicio]]=0, "-", BS_CONTROLE[[#This Row],[KM - Inicio]])</f>
        <v>1</v>
      </c>
      <c r="AQ247" s="281">
        <f>IF(BS_CONTROLE[[#This Row],[KM - Fim]]=0, "-", BS_CONTROLE[[#This Row],[KM - Fim]])</f>
        <v>109</v>
      </c>
      <c r="AR247" s="38"/>
      <c r="AS247" s="38"/>
      <c r="AT247" s="38"/>
      <c r="AU247" s="38"/>
      <c r="AV247" s="38"/>
      <c r="AW247" s="38"/>
      <c r="AX247" s="38"/>
      <c r="AY247" s="313">
        <f>IF(D247="","*",IFERROR(IF(ISODD(COUNT(AS247:AX247)),"ERRO",SUM((AT247-AS247),(AV247-AU247),(AX247-AW247))),"ERRO"))</f>
        <v>0</v>
      </c>
      <c r="AZ247" s="13"/>
      <c r="BA247" s="71"/>
      <c r="BB247" s="10" t="str">
        <f>IFERROR(_xlfn.XLOOKUP(AI247, BS_ATIVIDADE[ATIVIDADE],BS_ATIVIDADE[UNIDADE] ), "*")</f>
        <v>KM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282" t="str">
        <f>IF(BS_CONTROLE[[#This Row],[Responsavel pelo boletim]]=0, "-", BS_CONTROLE[[#This Row],[Responsavel pelo boletim]])</f>
        <v>Hebert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Produção e Intervalo</v>
      </c>
      <c r="BR247" s="18">
        <f t="shared" si="33"/>
        <v>0</v>
      </c>
      <c r="BS247" s="18">
        <f t="shared" si="34"/>
        <v>0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1479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1480</v>
      </c>
      <c r="J249" s="212">
        <v>78</v>
      </c>
      <c r="K249" s="212">
        <v>334</v>
      </c>
      <c r="L249" s="83" t="s">
        <v>11</v>
      </c>
      <c r="M249" s="199" t="s">
        <v>1481</v>
      </c>
      <c r="N249" s="199" t="s">
        <v>1481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1482</v>
      </c>
      <c r="X249" s="213" t="s">
        <v>969</v>
      </c>
      <c r="Y249" s="153" t="s">
        <v>972</v>
      </c>
      <c r="Z249" s="153"/>
      <c r="AA249" s="83" t="s">
        <v>1483</v>
      </c>
      <c r="AB249" s="70" t="s">
        <v>961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>
        <v>103</v>
      </c>
      <c r="K252" s="212">
        <v>1635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PPG-PTR</v>
      </c>
      <c r="AN252" s="279" t="str">
        <f>IF(BS_CONTROLE[[#This Row],[SB]]=0, "-", BS_CONTROLE[[#This Row],[SB]])</f>
        <v>PPGPTR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1635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512</v>
      </c>
      <c r="I254" s="168" t="s">
        <v>522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1484</v>
      </c>
      <c r="W254" s="168" t="s">
        <v>1485</v>
      </c>
      <c r="X254" s="213" t="s">
        <v>969</v>
      </c>
      <c r="Y254" s="153" t="s">
        <v>972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626</v>
      </c>
      <c r="I255" s="168" t="s">
        <v>649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1486</v>
      </c>
      <c r="W255" s="168" t="s">
        <v>1485</v>
      </c>
      <c r="X255" s="213" t="s">
        <v>969</v>
      </c>
      <c r="Y255" s="153" t="s">
        <v>972</v>
      </c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704</v>
      </c>
      <c r="I256" s="168" t="s">
        <v>1487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1380</v>
      </c>
      <c r="W256" s="168" t="s">
        <v>1485</v>
      </c>
      <c r="X256" s="213" t="s">
        <v>969</v>
      </c>
      <c r="Y256" s="153" t="s">
        <v>972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 hidden="1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 hidden="1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 hidden="1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 hidden="1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 hidden="1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 hidden="1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 hidden="1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 hidden="1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 hidden="1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 hidden="1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 hidden="1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 hidden="1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 hidden="1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 hidden="1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 hidden="1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 hidden="1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 hidden="1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 hidden="1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 hidden="1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 hidden="1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 hidden="1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 hidden="1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 hidden="1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 hidden="1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 hidden="1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 hidden="1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 hidden="1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 hidden="1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 hidden="1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 hidden="1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 hidden="1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 hidden="1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 hidden="1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hidden="1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 hidden="1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 hidden="1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 hidden="1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 hidden="1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 hidden="1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 hidden="1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 hidden="1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 hidden="1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 hidden="1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 hidden="1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 hidden="1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 hidden="1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 hidden="1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 hidden="1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 hidden="1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 hidden="1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 hidden="1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 hidden="1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 hidden="1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 hidden="1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 hidden="1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 hidden="1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 hidden="1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 hidden="1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 hidden="1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 hidden="1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 hidden="1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 hidden="1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 hidden="1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 hidden="1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 hidden="1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 hidden="1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 hidden="1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 hidden="1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 hidden="1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 hidden="1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 hidden="1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 hidden="1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 hidden="1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 hidden="1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 hidden="1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 hidden="1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 hidden="1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 hidden="1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 hidden="1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 hidden="1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 hidden="1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 hidden="1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 hidden="1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 hidden="1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 hidden="1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 hidden="1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 hidden="1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 hidden="1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 hidden="1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 hidden="1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 hidden="1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 hidden="1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 hidden="1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 hidden="1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 hidden="1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 hidden="1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 hidden="1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 hidden="1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 hidden="1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 hidden="1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hidden="1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 hidden="1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 hidden="1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 hidden="1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 hidden="1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 hidden="1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 hidden="1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 hidden="1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 hidden="1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 hidden="1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 hidden="1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 hidden="1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 hidden="1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 hidden="1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 hidden="1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 hidden="1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 hidden="1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 hidden="1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 hidden="1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 hidden="1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 hidden="1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 hidden="1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 hidden="1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 hidden="1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 hidden="1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 hidden="1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 hidden="1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 hidden="1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 hidden="1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 hidden="1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 hidden="1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 hidden="1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 hidden="1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 hidden="1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 hidden="1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 hidden="1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 hidden="1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 hidden="1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 hidden="1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 hidden="1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 hidden="1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 hidden="1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 hidden="1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 hidden="1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 hidden="1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 hidden="1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 hidden="1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 hidden="1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 hidden="1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 hidden="1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 hidden="1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 hidden="1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 hidden="1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 hidden="1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 hidden="1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 hidden="1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 hidden="1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 hidden="1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 hidden="1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 hidden="1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 hidden="1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 hidden="1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 hidden="1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 hidden="1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 hidden="1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 hidden="1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 hidden="1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 hidden="1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 hidden="1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 hidden="1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 hidden="1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 hidden="1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 hidden="1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 hidden="1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 hidden="1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 hidden="1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 hidden="1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 hidden="1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 hidden="1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 hidden="1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 hidden="1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 hidden="1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 hidden="1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 hidden="1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 hidden="1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 hidden="1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 hidden="1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 hidden="1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 hidden="1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 hidden="1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 hidden="1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 hidden="1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 hidden="1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 hidden="1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 hidden="1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 hidden="1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 hidden="1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 hidden="1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 hidden="1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 hidden="1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 hidden="1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 hidden="1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 hidden="1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 hidden="1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 hidden="1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 hidden="1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 hidden="1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 hidden="1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 hidden="1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 hidden="1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 hidden="1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 hidden="1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 hidden="1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 hidden="1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 hidden="1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 hidden="1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 hidden="1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 hidden="1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 hidden="1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 hidden="1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 hidden="1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 hidden="1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 hidden="1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 hidden="1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 hidden="1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 hidden="1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 hidden="1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 hidden="1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 hidden="1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 hidden="1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 hidden="1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 hidden="1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91" operator="equal">
      <formula>"ERRO"</formula>
    </cfRule>
  </conditionalFormatting>
  <conditionalFormatting sqref="X4 Y471:Y546 Y1:Z470">
    <cfRule type="cellIs" dxfId="138" priority="18380" operator="equal">
      <formula>"OPORTUNIDADE"</formula>
    </cfRule>
  </conditionalFormatting>
  <conditionalFormatting sqref="AZ6:AZ518">
    <cfRule type="expression" dxfId="137" priority="18375">
      <formula>$BU6=1</formula>
    </cfRule>
  </conditionalFormatting>
  <conditionalFormatting sqref="BQ6:BQ595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8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1:X518 Y471:Y546 Y6:Z470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1:X518">
    <cfRule type="cellIs" dxfId="126" priority="18315" operator="equal">
      <formula>"OPORTUNIDADE"</formula>
    </cfRule>
  </conditionalFormatting>
  <conditionalFormatting sqref="Z471:Z518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1:Z518">
    <cfRule type="cellIs" dxfId="123" priority="18312" operator="equal">
      <formula>"OPORTUNIDADE"</formula>
    </cfRule>
  </conditionalFormatting>
  <conditionalFormatting sqref="Y1048571:Y1048576">
    <cfRule type="cellIs" dxfId="122" priority="18197" operator="equal">
      <formula>"OPORTUNIDADE"</formula>
    </cfRule>
  </conditionalFormatting>
  <conditionalFormatting sqref="Y1048571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19:Z544">
    <cfRule type="cellIs" dxfId="119" priority="17932" operator="equal">
      <formula>"OPORTUNIDADE"</formula>
    </cfRule>
  </conditionalFormatting>
  <conditionalFormatting sqref="Z519:Z544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5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5">
    <cfRule type="cellIs" dxfId="114" priority="17917" operator="equal">
      <formula>"OPORTUNIDADE"</formula>
    </cfRule>
  </conditionalFormatting>
  <conditionalFormatting sqref="Z545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5">
    <cfRule type="cellIs" dxfId="111" priority="17914" operator="equal">
      <formula>"OPORTUNIDADE"</formula>
    </cfRule>
  </conditionalFormatting>
  <conditionalFormatting sqref="BI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4">
      <formula>$BU488=1</formula>
    </cfRule>
  </conditionalFormatting>
  <conditionalFormatting sqref="AZ521:AZ545">
    <cfRule type="expression" dxfId="109" priority="18694">
      <formula>$BU493=1</formula>
    </cfRule>
  </conditionalFormatting>
  <conditionalFormatting sqref="BI519:BI544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6:BO60 BO77:BO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5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1488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1489</v>
      </c>
      <c r="E3" s="316" t="s">
        <v>1490</v>
      </c>
      <c r="F3" s="316" t="s">
        <v>1491</v>
      </c>
      <c r="G3" s="316" t="s">
        <v>1492</v>
      </c>
      <c r="H3" s="316" t="s">
        <v>1493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1494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1495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1223</v>
      </c>
      <c r="R1" s="384"/>
      <c r="U1" s="101"/>
      <c r="V1" s="385" t="s">
        <v>1496</v>
      </c>
      <c r="W1" s="385"/>
      <c r="X1" s="385"/>
      <c r="Y1" s="103"/>
    </row>
    <row r="2" spans="1:25" s="100" customFormat="1" ht="11.25" customHeight="1">
      <c r="A2" s="104" t="s">
        <v>1497</v>
      </c>
      <c r="B2" s="104" t="s">
        <v>1498</v>
      </c>
      <c r="C2" s="104" t="s">
        <v>7</v>
      </c>
      <c r="D2" s="105" t="s">
        <v>1175</v>
      </c>
      <c r="E2" s="105" t="s">
        <v>1176</v>
      </c>
      <c r="F2" s="105" t="s">
        <v>1499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1500</v>
      </c>
      <c r="U2" s="107" t="s">
        <v>1178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>
        <f>IF(FN_MC!B223="","*",FN_MC!B223)</f>
        <v>46035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FERRONORTE</v>
      </c>
      <c r="E245" s="109" t="str">
        <f>IF(FN_MC!T247="","*",FN_MC!T247)</f>
        <v>TMI-TCS</v>
      </c>
      <c r="F245" s="109">
        <f>IF(FN_MC!B247="","*",FN_MC!B247)</f>
        <v>46035</v>
      </c>
      <c r="G245" s="109" t="str">
        <f>IF(FN_MC!D247="","*",FN_MC!D247)</f>
        <v>A60</v>
      </c>
      <c r="H245" s="109" t="str">
        <f>IF(FN_MC!F247="","*",FN_MC!F247)</f>
        <v>DETECÇÃO - RONDA 7 DIAS</v>
      </c>
      <c r="I245" s="109" t="str">
        <f>IF(FN_MC!H247="","*",FN_MC!H247)</f>
        <v>TMI</v>
      </c>
      <c r="J245" s="109" t="str">
        <f>IF(FN_MC!I247="","*",FN_MC!I247)</f>
        <v>TIN</v>
      </c>
      <c r="K245" s="109" t="str">
        <f>IF(FN_MC!M247="","*",FN_MC!M247)</f>
        <v>TMI-TIN</v>
      </c>
      <c r="L245" s="328" t="str">
        <f>IF(FN_MC!N247="","*",FN_MC!N247)</f>
        <v>TMITIN</v>
      </c>
      <c r="M245" s="110">
        <f>IF(FN_MC!J247="","*",FN_MC!J247)</f>
        <v>74</v>
      </c>
      <c r="N245" s="291">
        <f>IF(FN_MC!K247="","*",FN_MC!K247)</f>
        <v>1</v>
      </c>
      <c r="O245" s="291">
        <f>IF(FN_MC!L247="","*",FN_MC!L247)</f>
        <v>109</v>
      </c>
      <c r="P245" s="110"/>
      <c r="Q245" s="127">
        <f>IF(FN_MC!O247="","*",FN_MC!O247)</f>
        <v>0.375</v>
      </c>
      <c r="R245" s="127">
        <f>IF(FN_MC!P247="","*",FN_MC!P247)</f>
        <v>4.1666666666666664E-2</v>
      </c>
      <c r="S245" s="109" t="str">
        <f>IF(FN_MC!Q247="","*",CONCATENATE(FN_MC!Q247," ",FN_MC!R247))</f>
        <v>1 KM</v>
      </c>
      <c r="T245" s="109" t="str">
        <f>IF(FN_MC!V247="","*",FN_MC!V247)</f>
        <v>Hebert</v>
      </c>
      <c r="U245" s="109" t="str">
        <f>IF(FN_MC!W247="","*",FN_MC!W247)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MALHA CENTRAL</v>
      </c>
      <c r="E250" s="109" t="str">
        <f>IF(FN_MC!T252="","*",FN_MC!T252)</f>
        <v>POV-PRV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PPG-PTR</v>
      </c>
      <c r="L250" s="328" t="str">
        <f>IF(FN_MC!N252="","*",FN_MC!N252)</f>
        <v>PPGPTR</v>
      </c>
      <c r="M250" s="110">
        <f>IF(FN_MC!J252="","*",FN_MC!J252)</f>
        <v>103</v>
      </c>
      <c r="N250" s="291">
        <f>IF(FN_MC!K252="","*",FN_MC!K252)</f>
        <v>1635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OPORTUNIDADE</v>
      </c>
      <c r="B253" s="108" t="str">
        <f>IF(FN_MC!X255="","*",FN_MC!X255)</f>
        <v>Oportunidade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OPORTUNIDADE</v>
      </c>
      <c r="B254" s="108" t="str">
        <f>IF(FN_MC!X256="","*",FN_MC!X256)</f>
        <v>Oportunidade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1501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1502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1503</v>
      </c>
      <c r="C4" s="321" t="s">
        <v>1504</v>
      </c>
      <c r="D4" s="321" t="s">
        <v>1505</v>
      </c>
      <c r="E4" s="321" t="s">
        <v>1506</v>
      </c>
      <c r="F4" s="321" t="s">
        <v>364</v>
      </c>
      <c r="G4" s="321" t="s">
        <v>1507</v>
      </c>
      <c r="H4" s="187"/>
    </row>
    <row r="5" spans="1:8" ht="43.5">
      <c r="A5" s="187"/>
      <c r="B5" s="322" t="s">
        <v>1508</v>
      </c>
      <c r="C5" s="322">
        <v>309525</v>
      </c>
      <c r="D5" s="322" t="s">
        <v>1509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1510</v>
      </c>
      <c r="C6" s="322">
        <v>256875</v>
      </c>
      <c r="D6" s="322" t="s">
        <v>1511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1512</v>
      </c>
      <c r="C7" s="322">
        <v>257278</v>
      </c>
      <c r="D7" s="322" t="s">
        <v>1513</v>
      </c>
      <c r="E7" s="322" t="s">
        <v>240</v>
      </c>
      <c r="F7" s="322" t="s">
        <v>1460</v>
      </c>
      <c r="G7" s="323">
        <v>46235</v>
      </c>
      <c r="H7" s="187"/>
    </row>
    <row r="8" spans="1:8" ht="43.5">
      <c r="A8" s="187"/>
      <c r="B8" s="322" t="s">
        <v>1514</v>
      </c>
      <c r="C8" s="322">
        <v>261794</v>
      </c>
      <c r="D8" s="322" t="s">
        <v>1515</v>
      </c>
      <c r="E8" s="322" t="s">
        <v>240</v>
      </c>
      <c r="F8" s="322" t="s">
        <v>1460</v>
      </c>
      <c r="G8" s="323">
        <v>46082</v>
      </c>
      <c r="H8" s="187"/>
    </row>
    <row r="9" spans="1:8" ht="43.5">
      <c r="A9" s="187"/>
      <c r="B9" s="322" t="s">
        <v>1516</v>
      </c>
      <c r="C9" s="322">
        <v>257033</v>
      </c>
      <c r="D9" s="322" t="s">
        <v>1517</v>
      </c>
      <c r="E9" s="322" t="s">
        <v>240</v>
      </c>
      <c r="F9" s="322" t="s">
        <v>551</v>
      </c>
      <c r="G9" s="322" t="s">
        <v>1518</v>
      </c>
      <c r="H9" s="187"/>
    </row>
    <row r="10" spans="1:8" ht="43.5">
      <c r="A10" s="187"/>
      <c r="B10" s="322" t="s">
        <v>1519</v>
      </c>
      <c r="C10" s="322">
        <v>396578</v>
      </c>
      <c r="D10" s="322" t="s">
        <v>1520</v>
      </c>
      <c r="E10" s="322" t="s">
        <v>240</v>
      </c>
      <c r="F10" s="322" t="s">
        <v>551</v>
      </c>
      <c r="G10" s="322" t="s">
        <v>1518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1521</v>
      </c>
      <c r="C2" s="95" t="s">
        <v>1160</v>
      </c>
      <c r="D2" s="95" t="s">
        <v>1162</v>
      </c>
      <c r="E2" s="95" t="s">
        <v>1522</v>
      </c>
      <c r="F2" s="95" t="s">
        <v>1523</v>
      </c>
      <c r="G2" s="95" t="s">
        <v>1524</v>
      </c>
      <c r="H2" s="95" t="s">
        <v>1525</v>
      </c>
      <c r="I2" s="95" t="s">
        <v>1526</v>
      </c>
      <c r="J2" s="95" t="s">
        <v>1527</v>
      </c>
      <c r="K2" s="130" t="s">
        <v>1528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46035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>
        <f>IF(FN_MC!B247="","*",FN_MC!B247)</f>
        <v>46035</v>
      </c>
      <c r="D250" s="120" t="str">
        <f>IF(FN_MC!D247="","*",FN_MC!D247)</f>
        <v>A60</v>
      </c>
      <c r="E250" s="120" t="str">
        <f>IF(FN_MC!H247="","*",FN_MC!H247)</f>
        <v>TMI</v>
      </c>
      <c r="F250" s="136" t="str">
        <f>IF(FN_MC!M247="","*",FN_MC!M247)</f>
        <v>TMI-TIN</v>
      </c>
      <c r="G250" s="120" t="str">
        <f>IF(FN_MC!I247="","*",FN_MC!I247)</f>
        <v>TIN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PPG-PTR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OPORTUNIDADE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OPORTUNIDADE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1529</v>
      </c>
      <c r="D5" s="389"/>
      <c r="E5" s="389"/>
      <c r="F5" s="389"/>
      <c r="G5" s="389"/>
      <c r="H5" s="389"/>
      <c r="I5" s="389"/>
      <c r="J5" s="390"/>
      <c r="K5" s="391" t="s">
        <v>1530</v>
      </c>
      <c r="L5" s="392"/>
      <c r="M5" s="392"/>
      <c r="N5" s="392"/>
      <c r="O5" s="393" t="s">
        <v>1531</v>
      </c>
      <c r="P5" s="394"/>
      <c r="Q5" s="395"/>
    </row>
    <row r="6" spans="1:17" s="93" customFormat="1" ht="15.75" customHeight="1">
      <c r="A6" s="87" t="s">
        <v>1499</v>
      </c>
      <c r="B6" s="94" t="s">
        <v>1498</v>
      </c>
      <c r="C6" s="95" t="s">
        <v>1175</v>
      </c>
      <c r="D6" s="96" t="s">
        <v>1176</v>
      </c>
      <c r="E6" s="95" t="s">
        <v>1532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1533</v>
      </c>
      <c r="M6" s="138" t="s">
        <v>30</v>
      </c>
      <c r="N6" s="139" t="s">
        <v>1170</v>
      </c>
      <c r="O6" s="241" t="s">
        <v>1213</v>
      </c>
      <c r="P6" s="152"/>
      <c r="Q6" s="188" t="s">
        <v>1534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46035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>
        <f>IF(FN_MC!B247="","*",FN_MC!B247)</f>
        <v>46035</v>
      </c>
      <c r="B246" s="98" t="str">
        <f>IF(FN_MC!X247="","*",FN_MC!X247)</f>
        <v>*</v>
      </c>
      <c r="C246" s="99" t="str">
        <f>IF(FN_MC!S247="","*",FN_MC!S247)</f>
        <v>FERRONORTE</v>
      </c>
      <c r="D246" s="99" t="str">
        <f>IF(FN_MC!T247="","*",FN_MC!T247)</f>
        <v>TMI-TCS</v>
      </c>
      <c r="E246" s="99" t="str">
        <f>IF(FN_MC!D247="","*",FN_MC!D247)</f>
        <v>A60</v>
      </c>
      <c r="F246" s="99" t="str">
        <f>IF(FN_MC!H247="","*",FN_MC!H247)</f>
        <v>TMI</v>
      </c>
      <c r="G246" s="99" t="str">
        <f>IF(FN_MC!M247="","*",FN_MC!M247)</f>
        <v>TMI-TIN</v>
      </c>
      <c r="H246" s="149">
        <f>IF(FN_MC!K247="","*",FN_MC!K247)</f>
        <v>1</v>
      </c>
      <c r="I246" s="131">
        <f>IF(FN_MC!O247="","*",FN_MC!O247)</f>
        <v>0.375</v>
      </c>
      <c r="J246" s="131">
        <f>IF(FN_MC!P247="","*",FN_MC!P247)</f>
        <v>4.1666666666666664E-2</v>
      </c>
      <c r="K246" s="140" t="str">
        <f>IF(FN_MC!AK247="","*",FN_MC!AK247)</f>
        <v>TMI</v>
      </c>
      <c r="L246" s="140" t="str">
        <f>IF(FN_MC!AM247="","*",FN_MC!AM247)</f>
        <v>TMI-TIN</v>
      </c>
      <c r="M246" s="140">
        <f>IF(FN_MC!AP247="","*",FN_MC!AP247)</f>
        <v>1</v>
      </c>
      <c r="N246" s="140" t="str">
        <f>IF(FN_MC!AM247="","*",FN_MC!AM247)</f>
        <v>TMI-TIN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MALHA CENTRAL</v>
      </c>
      <c r="D251" s="99" t="str">
        <f>IF(FN_MC!T252="","*",FN_MC!T252)</f>
        <v>POV-PRV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PPG-PTR</v>
      </c>
      <c r="H251" s="149">
        <f>IF(FN_MC!K252="","*",FN_MC!K252)</f>
        <v>1635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PPG-PTR</v>
      </c>
      <c r="M251" s="140">
        <f>IF(FN_MC!AP252="","*",FN_MC!AP252)</f>
        <v>1635</v>
      </c>
      <c r="N251" s="140" t="str">
        <f>IF(FN_MC!AM252="","*",FN_MC!AM252)</f>
        <v>PPG-PTR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1534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2026-01-13T11:22:31Z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