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16" documentId="8_{B6337239-1A00-434D-AAD0-422EA1FEB5AE}" xr6:coauthVersionLast="47" xr6:coauthVersionMax="47" xr10:uidLastSave="{F819CC9C-64E8-4A76-AB5C-5F14D22A63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0" i="1" l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T271" i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296" i="1" l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<sst xmlns="http://schemas.openxmlformats.org/spreadsheetml/2006/main" count="8927" uniqueCount="1828">
  <si>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</si>
  <si>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</si>
  <si>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</si>
  <si>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</si>
  <si>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</si>
  <si>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</si>
  <si>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</si>
  <si>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</si>
  <si>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</si>
  <si>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</si>
  <si>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</si>
  <si>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</si>
  <si>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</si>
  <si>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</si>
  <si>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</si>
  <si>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</si>
  <si>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</si>
  <si>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</si>
  <si>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</si>
  <si>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</si>
  <si>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</si>
  <si>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</si>
  <si>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</si>
  <si>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</si>
  <si>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</si>
  <si>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</si>
  <si>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</si>
  <si>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</si>
  <si>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</si>
  <si>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</si>
  <si>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</si>
  <si>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</si>
  <si>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</si>
  <si>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</si>
  <si>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</si>
  <si>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</si>
  <si>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</si>
  <si>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</si>
  <si>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</si>
  <si>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</si>
  <si>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</si>
  <si>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</si>
  <si>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</si>
  <si>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</si>
  <si>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</si>
  <si>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</si>
  <si>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</si>
  <si>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</si>
  <si>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</si>
  <si>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</si>
  <si>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</si>
  <si>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</si>
  <si>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</si>
  <si>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</si>
  <si>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</si>
  <si>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</si>
  <si>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</si>
  <si>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</si>
  <si>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</si>
  <si>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</si>
  <si>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</si>
  <si>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</si>
  <si>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</si>
  <si>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</si>
  <si>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</si>
  <si>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</si>
  <si>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</si>
  <si>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</si>
  <si>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</si>
  <si>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</si>
  <si>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</si>
  <si>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</si>
  <si>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</si>
  <si>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</si>
  <si>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</si>
  <si>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</si>
  <si>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</si>
  <si>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</si>
  <si>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</si>
  <si>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</si>
  <si>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</si>
  <si>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</si>
  <si>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</si>
  <si>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</si>
  <si>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</si>
  <si>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</si>
  <si>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</si>
  <si>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</si>
  <si>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</si>
  <si>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</si>
  <si>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</si>
  <si>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</si>
  <si>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</si>
  <si>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</si>
  <si>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</si>
  <si>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</si>
  <si>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</si>
  <si>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</si>
  <si>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</si>
  <si>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</si>
  <si>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</si>
  <si>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</si>
  <si>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</si>
  <si>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</si>
  <si>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</si>
  <si>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</si>
  <si>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</si>
  <si>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</si>
  <si>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</si>
  <si>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</si>
  <si>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</si>
  <si>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</si>
  <si>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</si>
  <si>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</si>
  <si>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</si>
  <si>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</si>
  <si>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</si>
  <si>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</si>
  <si>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</si>
  <si>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</si>
  <si>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</si>
  <si>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</si>
  <si>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</si>
  <si>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</si>
  <si>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</si>
  <si>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</si>
  <si>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</si>
  <si>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</si>
  <si>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</si>
  <si>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</si>
  <si>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</si>
  <si>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</si>
  <si>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</si>
  <si>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</si>
  <si>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</si>
  <si>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</si>
  <si>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</si>
  <si>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</si>
  <si>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</si>
  <si>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</si>
  <si>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</si>
  <si>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</si>
  <si>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</si>
  <si>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</si>
  <si>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</si>
  <si>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</si>
  <si>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</si>
  <si>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</si>
  <si>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</si>
  <si>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</si>
  <si>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</si>
  <si>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</si>
  <si>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</si>
  <si>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</si>
  <si>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</si>
  <si>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</si>
  <si>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</si>
  <si>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</si>
  <si>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</si>
  <si>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</si>
  <si>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</si>
  <si>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</si>
  <si>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</si>
  <si>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</si>
  <si>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</si>
  <si>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</si>
  <si>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</si>
  <si>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</si>
  <si>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</si>
  <si>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</si>
  <si>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</si>
  <si>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</si>
  <si>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</si>
  <si>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</si>
  <si>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</si>
  <si>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</si>
  <si>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</si>
  <si>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</si>
  <si>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</si>
  <si>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</si>
  <si>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</si>
  <si>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</si>
  <si>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</si>
  <si>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</si>
  <si>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</si>
  <si>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</si>
  <si>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</si>
  <si>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</si>
  <si>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</si>
  <si>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</si>
  <si>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</si>
  <si>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</si>
  <si>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</si>
  <si>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</si>
  <si>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</si>
  <si>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</si>
  <si>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</si>
  <si>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</si>
  <si>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</si>
  <si>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</si>
  <si>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</si>
  <si>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</si>
  <si>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</si>
  <si>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</si>
  <si>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</si>
  <si>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</si>
  <si>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</si>
  <si>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</si>
  <si>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</si>
  <si>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</si>
  <si>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</si>
  <si>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</si>
  <si>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</si>
  <si>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</si>
  <si>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</si>
  <si>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</si>
  <si>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</si>
  <si>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</si>
  <si>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</si>
  <si>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</si>
  <si>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</si>
  <si>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</si>
  <si>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</si>
  <si>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</si>
  <si>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</si>
  <si>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</si>
  <si>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</si>
  <si>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</si>
  <si>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</si>
  <si>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</si>
  <si>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</si>
  <si>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</si>
  <si>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</si>
  <si>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</si>
  <si>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</si>
  <si>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</si>
  <si>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</si>
  <si>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</si>
  <si>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</si>
  <si>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</si>
  <si>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</si>
  <si>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</si>
  <si>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</si>
  <si>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</si>
  <si>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</si>
  <si>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</si>
  <si>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</si>
  <si>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</si>
  <si>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</si>
  <si>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</si>
  <si>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</si>
  <si>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</si>
  <si>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</si>
  <si>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</si>
  <si>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</si>
  <si>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</si>
  <si>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</si>
  <si>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</si>
  <si>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</si>
  <si>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</si>
  <si>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</si>
  <si>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</si>
  <si>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</si>
  <si>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</si>
  <si>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</si>
  <si>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</si>
  <si>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</si>
  <si>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</si>
  <si>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</si>
  <si>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</si>
  <si>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</si>
  <si>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</si>
  <si>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</si>
  <si>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</si>
  <si>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</si>
  <si>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</si>
  <si>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</si>
  <si>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</si>
  <si>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</si>
  <si>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</si>
  <si>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</si>
  <si>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</si>
  <si>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</si>
  <si>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</si>
  <si>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</si>
  <si>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</si>
  <si>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</si>
  <si>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</si>
  <si>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</si>
  <si>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</si>
  <si>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</si>
  <si>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</si>
  <si>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</si>
  <si>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</si>
  <si>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</si>
  <si>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</si>
  <si>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</si>
  <si>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</si>
  <si>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</si>
  <si>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</si>
  <si>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</si>
  <si>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</si>
  <si>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</si>
  <si>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</si>
  <si>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</si>
  <si>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</si>
  <si>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</si>
  <si>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</si>
  <si>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</si>
  <si>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</si>
  <si>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</si>
  <si>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</si>
  <si>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</si>
  <si>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</si>
  <si>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</si>
  <si>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</si>
  <si>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</si>
  <si>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</si>
  <si>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</si>
  <si>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</si>
  <si>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</si>
  <si>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</si>
  <si>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</si>
  <si>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</si>
  <si>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</si>
  <si>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</si>
  <si>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</si>
  <si>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</si>
  <si>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</si>
  <si>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</si>
  <si>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</si>
  <si>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</si>
  <si>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</si>
  <si>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</si>
  <si>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</si>
  <si>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</si>
  <si>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</si>
  <si>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</si>
  <si>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</si>
  <si>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</si>
  <si>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</si>
  <si>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</si>
  <si>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</si>
  <si>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</si>
  <si>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</si>
  <si>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</si>
  <si>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</si>
  <si>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</si>
  <si>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</si>
  <si>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</si>
  <si>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</si>
  <si>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</si>
  <si>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</si>
  <si>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</si>
  <si>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</si>
  <si>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</si>
  <si>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</si>
  <si>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</si>
  <si>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</si>
  <si>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</si>
  <si>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</si>
  <si>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</si>
  <si>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</si>
  <si>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</si>
  <si>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</si>
  <si>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</si>
  <si>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</si>
  <si>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</si>
  <si>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</si>
  <si>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</si>
  <si>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</si>
  <si>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</si>
  <si>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</si>
  <si>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</si>
  <si>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</si>
  <si>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</si>
  <si>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</si>
  <si>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</si>
  <si>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</si>
  <si>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</si>
  <si>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</si>
  <si>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</si>
  <si>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</si>
  <si>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</si>
  <si>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</si>
  <si>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</si>
  <si>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</si>
  <si>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</si>
  <si>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</si>
  <si>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</si>
  <si>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</si>
  <si>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</si>
  <si>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</si>
  <si>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</si>
  <si>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</si>
  <si>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</si>
  <si>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</si>
  <si>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</si>
  <si>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</si>
  <si>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</si>
  <si>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</si>
  <si>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</si>
  <si>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</si>
  <si>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</si>
  <si>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</si>
  <si>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</si>
  <si>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</si>
  <si>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</si>
  <si>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</si>
  <si>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</si>
  <si>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</si>
  <si>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</si>
  <si>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</si>
  <si>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</si>
  <si>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</si>
  <si>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</si>
  <si>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</si>
  <si>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</si>
  <si>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</si>
  <si>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</si>
  <si>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</si>
  <si>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</si>
  <si>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</si>
  <si>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</si>
  <si>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</si>
  <si>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</si>
  <si>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</si>
  <si>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</si>
  <si>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</si>
  <si>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</si>
  <si>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</si>
  <si>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</si>
  <si>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</si>
  <si>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</si>
  <si>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</si>
  <si>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</si>
  <si>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</si>
  <si>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</si>
  <si>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</si>
  <si>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</si>
  <si>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</si>
  <si>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</si>
  <si>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</si>
  <si>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</si>
  <si>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</si>
  <si>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</si>
  <si>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</si>
  <si>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</si>
  <si>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</si>
  <si>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</si>
  <si>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</si>
  <si>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</si>
  <si>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</si>
  <si>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</si>
  <si>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</si>
  <si>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</si>
  <si>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</si>
  <si>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</si>
  <si>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</si>
  <si>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</si>
  <si>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</si>
  <si>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</si>
  <si>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</si>
  <si>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</si>
  <si>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</si>
  <si>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</si>
  <si>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</si>
  <si>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</si>
  <si>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</si>
  <si>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</si>
  <si>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</si>
  <si>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</si>
  <si>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</si>
  <si>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</si>
  <si>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</si>
  <si>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</si>
  <si>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</si>
  <si>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</si>
  <si>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</si>
  <si>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</si>
  <si>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</si>
  <si>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</si>
  <si>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</si>
  <si>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</si>
  <si>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</si>
  <si>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</si>
  <si>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</si>
  <si>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</si>
  <si>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</si>
  <si>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</si>
  <si>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</si>
  <si>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</si>
  <si>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</si>
  <si>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</si>
  <si>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</si>
  <si>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</si>
  <si>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</si>
  <si>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</si>
  <si>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</si>
  <si>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</si>
  <si>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</si>
  <si>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</si>
  <si>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</si>
  <si>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</si>
  <si>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</si>
  <si>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</si>
  <si>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</si>
  <si>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</si>
  <si>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</si>
  <si>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</si>
  <si>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</si>
  <si>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</si>
  <si>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</si>
  <si>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</si>
  <si>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</si>
  <si>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</si>
  <si>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</si>
  <si>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</si>
  <si>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</si>
  <si>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</si>
  <si>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</si>
  <si>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</si>
  <si>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</si>
  <si>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</si>
  <si>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</si>
  <si>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</si>
  <si>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</si>
  <si>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</si>
  <si>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</si>
  <si>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</si>
  <si>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</si>
  <si>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</si>
  <si>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</si>
  <si>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</si>
  <si>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</si>
  <si>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</si>
  <si>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</si>
  <si>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</si>
  <si>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</si>
  <si>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</si>
  <si>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</si>
  <si>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</si>
  <si>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</si>
  <si>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</si>
  <si>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</si>
  <si>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</si>
  <si>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</si>
  <si>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</si>
  <si>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</si>
  <si>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</si>
  <si>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</si>
  <si>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</si>
  <si>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</si>
  <si>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</si>
  <si>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</si>
  <si>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</si>
  <si>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</si>
  <si>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</si>
  <si>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</si>
  <si>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</si>
  <si>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</si>
  <si>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</si>
  <si>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</si>
  <si>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</si>
  <si>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</si>
  <si>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</si>
  <si>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</si>
  <si>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</si>
  <si>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</si>
  <si>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</si>
  <si>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</si>
  <si>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</si>
  <si>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</si>
  <si>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</si>
  <si>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</si>
  <si>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</si>
  <si>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</si>
  <si>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</si>
  <si>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</si>
  <si>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</si>
  <si>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</si>
  <si>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</si>
  <si>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</si>
  <si>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</si>
  <si>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</si>
  <si>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</si>
  <si>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</si>
  <si>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</si>
  <si>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</si>
  <si>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</si>
  <si>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</si>
  <si>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</si>
  <si>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</si>
  <si>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</si>
  <si>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</si>
  <si>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</si>
  <si>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</si>
  <si>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</si>
  <si>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</si>
  <si>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</si>
  <si>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</si>
  <si>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</si>
  <si>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</si>
  <si>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</si>
  <si>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</si>
  <si>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</si>
  <si>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</si>
  <si>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</si>
  <si>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</si>
  <si>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</si>
  <si>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</si>
  <si>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</si>
  <si>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</si>
  <si>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</si>
  <si>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</si>
  <si>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</si>
  <si>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</si>
  <si>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</si>
  <si>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</si>
  <si>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</si>
  <si>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</si>
  <si>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</si>
  <si>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</si>
  <si>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</si>
  <si>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</si>
  <si>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</si>
  <si>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</si>
  <si>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</si>
  <si>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</si>
  <si>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</si>
  <si>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</si>
  <si>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</si>
  <si>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</si>
  <si>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</si>
  <si>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</si>
  <si>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</si>
  <si>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</si>
  <si>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</si>
  <si>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</si>
  <si>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</si>
  <si>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</si>
  <si>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</si>
  <si>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</si>
  <si>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</si>
  <si>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</si>
  <si>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</si>
  <si>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</si>
  <si>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</si>
  <si>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</si>
  <si>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</si>
  <si>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</si>
  <si>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</si>
  <si>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</si>
  <si>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</si>
  <si>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</si>
  <si>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</si>
  <si>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</si>
  <si>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</si>
  <si>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</si>
  <si>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</si>
  <si>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</si>
  <si>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</si>
  <si>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</si>
  <si>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</si>
  <si>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</si>
  <si>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</si>
  <si>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</si>
  <si>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</si>
  <si>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</si>
  <si>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</si>
  <si>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</si>
  <si>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</si>
  <si>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</si>
  <si>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</si>
  <si>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</si>
  <si>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</si>
  <si>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</si>
  <si>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</si>
  <si>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</si>
  <si>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</si>
  <si>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</si>
  <si>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</si>
  <si>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</si>
  <si>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</si>
  <si>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</si>
  <si>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</si>
  <si>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</si>
  <si>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</si>
  <si>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</si>
  <si>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</si>
  <si>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</si>
  <si>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</si>
  <si>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</si>
  <si>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</si>
  <si>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</si>
  <si>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</si>
  <si>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</si>
  <si>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</si>
  <si>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</si>
  <si>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</si>
  <si>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</si>
  <si>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</si>
  <si>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</si>
  <si>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</si>
  <si>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</si>
  <si>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</si>
  <si>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</si>
  <si>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</si>
  <si>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</si>
  <si>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</si>
  <si>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</si>
  <si>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</si>
  <si>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</si>
  <si>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</si>
  <si>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</si>
  <si>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</si>
  <si>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</si>
  <si>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</si>
  <si>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</si>
  <si>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</si>
  <si>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</si>
  <si>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</si>
  <si>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</si>
  <si>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</si>
  <si>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</si>
  <si>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</si>
  <si>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</si>
  <si>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</si>
  <si>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</si>
  <si>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</si>
  <si>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</si>
  <si>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</si>
  <si>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</si>
  <si>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</si>
  <si>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</si>
  <si>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</si>
  <si>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</si>
  <si>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</si>
  <si>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</si>
  <si>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</si>
  <si>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</si>
  <si>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</si>
  <si>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</si>
  <si>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</si>
  <si>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</si>
  <si>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</si>
  <si>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</si>
  <si>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</si>
  <si>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</si>
  <si>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</si>
  <si>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</si>
  <si>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</si>
  <si>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</si>
  <si>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</si>
  <si>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</si>
  <si>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</si>
  <si>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</si>
  <si>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</si>
  <si>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</si>
  <si>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</si>
  <si>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</si>
  <si>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</si>
  <si>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</si>
  <si>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</si>
  <si>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</si>
  <si>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</si>
  <si>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</si>
  <si>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</si>
  <si>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</si>
  <si>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</si>
  <si>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</si>
  <si>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</si>
  <si>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</si>
  <si>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</si>
  <si>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</si>
  <si>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</si>
  <si>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</si>
  <si>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</si>
  <si>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</si>
  <si>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</si>
  <si>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</si>
  <si>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</si>
  <si>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</si>
  <si>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</si>
  <si>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</si>
  <si>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</si>
  <si>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</si>
  <si>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</si>
  <si>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</si>
  <si>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</si>
  <si>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</si>
  <si>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</si>
  <si>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</si>
  <si>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</si>
  <si>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</si>
  <si>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</si>
  <si>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</si>
  <si>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</si>
  <si>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</si>
  <si>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</si>
  <si>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</si>
  <si>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</si>
  <si>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</si>
  <si>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</si>
  <si>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</si>
  <si>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</si>
  <si>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</si>
  <si>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</si>
  <si>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</si>
  <si>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</si>
  <si>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</si>
  <si>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</si>
  <si>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</si>
  <si>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</si>
  <si>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</si>
  <si>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</si>
  <si>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</si>
  <si>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</si>
  <si>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</si>
  <si>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</si>
  <si>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</si>
  <si>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</si>
  <si>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</si>
  <si>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</si>
  <si>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</si>
  <si>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</si>
  <si>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</si>
  <si>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</si>
  <si>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</si>
  <si>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</si>
  <si>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</si>
  <si>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</si>
  <si>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</si>
  <si>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</si>
  <si>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</si>
  <si>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</si>
  <si>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</si>
  <si>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</si>
  <si>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</si>
  <si>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</si>
  <si>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</si>
  <si>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</si>
  <si>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</si>
  <si>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</si>
  <si>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</si>
  <si>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</si>
  <si>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</si>
  <si>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</si>
  <si>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</si>
  <si>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</si>
  <si>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</si>
  <si>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</si>
  <si>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</si>
  <si>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</si>
  <si>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</si>
  <si>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</si>
  <si>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</si>
  <si>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</si>
  <si>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</si>
  <si>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</si>
  <si>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</si>
  <si>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</si>
  <si>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</si>
  <si>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</si>
  <si>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</si>
  <si>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</si>
  <si>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</si>
  <si>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</si>
  <si>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</si>
  <si>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</si>
  <si>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</si>
  <si>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</si>
  <si>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</si>
  <si>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</si>
  <si>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</si>
  <si>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</si>
  <si>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</si>
  <si>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</si>
  <si>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</si>
  <si>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</si>
  <si>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</si>
  <si>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</si>
  <si>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</si>
  <si>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</si>
  <si>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</si>
  <si>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</si>
  <si>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</si>
  <si>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</si>
  <si>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</si>
  <si>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</si>
  <si>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</si>
  <si>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</si>
  <si>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</si>
  <si>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</si>
  <si>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</si>
  <si>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</si>
  <si>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</si>
  <si>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</si>
  <si>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</si>
  <si>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</si>
  <si>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</si>
  <si>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</si>
  <si>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</si>
  <si>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</si>
  <si>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</si>
  <si>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</si>
  <si>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</si>
  <si>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</si>
  <si>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</si>
  <si>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</si>
  <si>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</si>
  <si>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</si>
  <si>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</si>
  <si>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</si>
  <si>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</si>
  <si>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</si>
  <si>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</si>
  <si>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</si>
  <si>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</si>
  <si>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</si>
  <si>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</si>
  <si>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</si>
  <si>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</si>
  <si>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</si>
  <si>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</si>
  <si>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</si>
  <si>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</si>
  <si>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</si>
  <si>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</si>
  <si>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</si>
  <si>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</si>
  <si>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</si>
  <si>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</si>
  <si>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</si>
  <si>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</si>
  <si>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</si>
  <si>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</si>
  <si>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</si>
  <si>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</si>
  <si>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</si>
  <si>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</si>
  <si>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</si>
  <si>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</si>
  <si>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</si>
  <si>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</si>
  <si>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</si>
  <si>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</si>
  <si>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</si>
  <si>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</si>
  <si>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</si>
  <si>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</si>
  <si>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</si>
  <si>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</si>
  <si>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</si>
  <si>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</si>
  <si>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</si>
  <si>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</si>
  <si>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</si>
  <si>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</si>
  <si>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</si>
  <si>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</si>
  <si>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</si>
  <si>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</si>
  <si>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</si>
  <si>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</si>
  <si>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</si>
  <si>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</si>
  <si>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</si>
  <si>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</si>
  <si>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</si>
  <si>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</si>
  <si>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</si>
  <si>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</si>
  <si>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</si>
  <si>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</si>
  <si>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</si>
  <si>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</si>
  <si>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</si>
  <si>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</si>
  <si>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</si>
  <si>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</si>
  <si>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</si>
  <si>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</si>
  <si>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</si>
  <si>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</si>
  <si>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</si>
  <si>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</si>
  <si>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</si>
  <si>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</si>
  <si>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</si>
  <si>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</si>
  <si>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</si>
  <si>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</si>
  <si>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</si>
  <si>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</si>
  <si>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</si>
  <si>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</si>
  <si>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</si>
  <si>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</si>
  <si>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</si>
  <si>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</si>
  <si>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</si>
  <si>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</si>
  <si>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</si>
  <si>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</si>
  <si>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</si>
  <si>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</si>
  <si>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</si>
  <si>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</si>
  <si>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</si>
  <si>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</si>
  <si>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</si>
  <si>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</si>
  <si>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</si>
  <si>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</si>
  <si>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</si>
  <si>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</si>
  <si>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</si>
  <si>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</si>
  <si>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</si>
  <si>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</si>
  <si>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</si>
  <si>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</si>
  <si>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</si>
  <si>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</si>
  <si>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</si>
  <si>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</si>
  <si>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</si>
  <si>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</si>
  <si>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</si>
  <si>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</si>
  <si>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</si>
  <si>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</si>
  <si>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</si>
  <si>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</si>
  <si>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</si>
  <si>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</si>
  <si>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</si>
  <si>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</si>
  <si>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</si>
  <si>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</si>
  <si>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</si>
  <si>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</si>
  <si>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</si>
  <si>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</si>
  <si>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</si>
  <si>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</si>
  <si>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</si>
  <si>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</si>
  <si>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</si>
  <si>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</si>
  <si>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</si>
  <si>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</si>
  <si>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</si>
  <si>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</si>
  <si>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</si>
  <si>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</si>
  <si>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</si>
  <si>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</si>
  <si>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</si>
  <si>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</si>
  <si>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</si>
  <si>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</si>
  <si>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</si>
  <si>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</si>
  <si>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</si>
  <si>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</si>
  <si>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</si>
  <si>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</si>
  <si>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</si>
  <si>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</si>
  <si>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</si>
  <si>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</si>
  <si>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</si>
  <si>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</si>
  <si>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</si>
  <si>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</si>
  <si>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</si>
  <si>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</si>
  <si>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</si>
  <si>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</si>
  <si>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</si>
  <si>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</si>
  <si>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</si>
  <si>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</si>
  <si>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</si>
  <si>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</si>
  <si>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</si>
  <si>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</si>
  <si>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</si>
  <si>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</si>
  <si>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</si>
  <si>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</si>
  <si>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</si>
  <si>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</si>
  <si>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</si>
  <si>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</si>
  <si>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</si>
  <si>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</si>
  <si>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</si>
  <si>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</si>
  <si>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</si>
  <si>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</si>
  <si>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</si>
  <si>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</si>
  <si>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</si>
  <si>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</si>
  <si>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</si>
  <si>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</si>
  <si>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</si>
  <si>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</si>
  <si>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</si>
  <si>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</si>
  <si>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</si>
  <si>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</si>
  <si>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</si>
  <si>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</si>
  <si>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</si>
  <si>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</si>
  <si>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</si>
  <si>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</si>
  <si>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</si>
  <si>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</si>
  <si>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</si>
  <si>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</si>
  <si>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</si>
  <si>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</si>
  <si>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</si>
  <si>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</si>
  <si>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</si>
  <si>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</si>
  <si>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</si>
  <si>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</si>
  <si>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</si>
  <si>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</si>
  <si>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</si>
  <si>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</si>
  <si>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</si>
  <si>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</si>
  <si>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</si>
  <si>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</si>
  <si>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</si>
  <si>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</si>
  <si>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</si>
  <si>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</si>
  <si>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</si>
  <si>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</si>
  <si>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</si>
  <si>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</si>
  <si>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</si>
  <si>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</si>
  <si>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</si>
  <si>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</si>
  <si>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</si>
  <si>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</si>
  <si>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</si>
  <si>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</si>
  <si>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</si>
  <si>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</si>
  <si>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</si>
  <si>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</si>
  <si>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</si>
  <si>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</si>
  <si>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</si>
  <si>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</si>
  <si>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</si>
  <si>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</si>
  <si>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</si>
  <si>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</si>
  <si>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</si>
  <si>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</si>
  <si>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</si>
  <si>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</si>
  <si>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</si>
  <si>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</si>
  <si>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</si>
  <si>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</si>
  <si>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</si>
  <si>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</si>
  <si>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</si>
  <si>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</si>
  <si>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</si>
  <si>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</si>
  <si>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</si>
  <si>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</si>
  <si>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</si>
  <si>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</si>
  <si>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</si>
  <si>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</si>
  <si>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</si>
  <si>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</si>
  <si>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</si>
  <si>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</si>
  <si>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</si>
  <si>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</si>
  <si>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</si>
  <si>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</si>
  <si>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</si>
  <si>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</si>
  <si>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</si>
  <si>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</si>
  <si>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</si>
  <si>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</si>
  <si>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</si>
  <si>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</si>
  <si>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</si>
  <si>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</si>
  <si>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</si>
  <si>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</si>
  <si>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</si>
  <si>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</si>
  <si>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</si>
  <si>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</si>
  <si>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</si>
  <si>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</si>
  <si>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</si>
  <si>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</si>
  <si>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</si>
  <si>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</si>
  <si>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</si>
  <si>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</si>
  <si>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</si>
  <si>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</si>
  <si>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</si>
  <si>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</si>
  <si>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</si>
  <si>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</si>
  <si>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</si>
  <si>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</si>
  <si>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</si>
  <si>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</si>
  <si>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</si>
  <si>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</si>
  <si>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</si>
  <si>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</si>
  <si>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</si>
  <si>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</si>
  <si>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</si>
  <si>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</si>
  <si>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</si>
  <si>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</si>
  <si>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</si>
  <si>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</si>
  <si>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</si>
  <si>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</si>
  <si>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</si>
  <si>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</si>
  <si>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</si>
  <si>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</si>
  <si>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</si>
  <si>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</si>
  <si>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</si>
  <si>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</si>
  <si>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</si>
  <si>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</si>
  <si>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</si>
  <si>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</si>
  <si>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</si>
  <si>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</si>
  <si>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</si>
  <si>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</si>
  <si>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</si>
  <si>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</si>
  <si>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</si>
  <si>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</si>
  <si>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</si>
  <si>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</si>
  <si>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</si>
  <si>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</si>
  <si>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</si>
  <si>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</si>
  <si>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</si>
  <si>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</si>
  <si>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</si>
  <si>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</si>
  <si>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</si>
  <si>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</si>
  <si>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</si>
  <si>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</si>
  <si>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</si>
  <si>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</si>
  <si>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</si>
  <si>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</si>
  <si>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</si>
  <si>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</si>
  <si>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</si>
  <si>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</si>
  <si>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</si>
  <si>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</si>
  <si>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</si>
  <si>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</si>
  <si>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</si>
  <si>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</si>
  <si>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</si>
  <si>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</si>
  <si>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</si>
  <si>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</si>
  <si>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</si>
  <si>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</si>
  <si>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</si>
  <si>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</si>
  <si>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</si>
  <si>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</si>
  <si>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</si>
  <si>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</si>
  <si>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</si>
  <si>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</si>
  <si>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</si>
  <si>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</si>
  <si>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</si>
  <si>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</si>
  <si>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</si>
  <si>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</si>
  <si>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</si>
  <si>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</si>
  <si>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</si>
  <si>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</si>
  <si>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</si>
  <si>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</si>
  <si>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</si>
  <si>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</si>
  <si>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</si>
  <si>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</si>
  <si>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</si>
  <si>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</si>
  <si>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</si>
  <si>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</si>
  <si>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</si>
  <si>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</si>
  <si>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</si>
  <si>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</si>
  <si>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</si>
  <si>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</si>
  <si>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</si>
  <si>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</si>
  <si>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</si>
  <si>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</si>
  <si>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</si>
  <si>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</si>
  <si>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</si>
  <si>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</si>
  <si>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</si>
  <si>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</si>
  <si>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</si>
  <si>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</si>
  <si>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</si>
  <si>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</si>
  <si>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</si>
  <si>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</si>
  <si>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</si>
  <si>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</si>
  <si>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</si>
  <si>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</si>
  <si>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</si>
  <si>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</si>
  <si>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</si>
  <si>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</si>
  <si>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</si>
  <si>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</si>
  <si>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</si>
  <si>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</si>
  <si>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</si>
  <si>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</si>
  <si>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</si>
  <si>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</si>
  <si>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</si>
  <si>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</si>
  <si>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</si>
  <si>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</si>
  <si>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</si>
  <si>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</si>
  <si>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</si>
  <si>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</si>
  <si>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</si>
  <si>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</si>
  <si>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</si>
  <si>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</si>
  <si>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</si>
  <si>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</si>
  <si>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</si>
  <si>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</si>
  <si>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</si>
  <si>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</si>
  <si>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</si>
  <si>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</si>
  <si>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</si>
  <si>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</si>
  <si>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</si>
  <si>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</si>
  <si>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</si>
  <si>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</si>
  <si>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</si>
  <si>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</si>
  <si>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</si>
  <si>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</si>
  <si>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</si>
  <si>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</si>
  <si>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</si>
  <si>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</si>
  <si>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</si>
  <si>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</si>
  <si>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</si>
  <si>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</si>
  <si>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</si>
  <si>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</si>
  <si>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</si>
  <si>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</si>
  <si>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</si>
  <si>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</si>
  <si>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</si>
  <si>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</si>
  <si>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</si>
  <si>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</si>
  <si>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</si>
  <si>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</si>
  <si>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</si>
  <si>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</si>
  <si>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</si>
  <si>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</si>
  <si>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</si>
  <si>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</si>
  <si>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</si>
  <si>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</si>
  <si>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</si>
  <si>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</si>
  <si>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</si>
  <si>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</si>
  <si>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</si>
  <si>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</si>
  <si>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</si>
  <si>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</si>
  <si>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</si>
  <si>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</si>
  <si>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</si>
  <si>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</si>
  <si>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</si>
  <si>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</si>
  <si>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</si>
  <si>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</si>
  <si>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</si>
  <si>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</si>
  <si>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</si>
  <si>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</si>
  <si>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</si>
  <si>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</si>
  <si>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</si>
  <si>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</si>
  <si>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</si>
  <si>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</si>
  <si>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</si>
  <si>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</si>
  <si>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</si>
  <si>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</si>
  <si>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</si>
  <si>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</si>
  <si>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</si>
  <si>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</si>
  <si>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</si>
  <si>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</si>
  <si>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</si>
  <si>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</si>
  <si>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</si>
  <si>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</si>
  <si>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</si>
  <si>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</si>
  <si>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</si>
  <si>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</si>
  <si>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</si>
  <si>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</si>
  <si>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</si>
  <si>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</si>
  <si>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</si>
  <si>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</si>
  <si>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</si>
  <si>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</si>
  <si>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</si>
  <si>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</si>
  <si>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</si>
  <si>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</si>
  <si>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</si>
  <si>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</si>
  <si>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</si>
  <si>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</si>
  <si>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</si>
  <si>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</si>
  <si>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</si>
  <si>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</si>
  <si>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</si>
  <si>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</si>
  <si>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</si>
  <si>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</si>
  <si>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</si>
  <si>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</si>
  <si>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</si>
  <si>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</si>
  <si>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</si>
  <si>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</si>
  <si>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</si>
  <si>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</si>
  <si>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</si>
  <si>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</si>
  <si>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</si>
  <si>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</si>
  <si>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</si>
  <si>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</si>
  <si>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</si>
  <si>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</si>
  <si>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</si>
  <si>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</si>
  <si>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</si>
  <si>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</si>
  <si>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</si>
  <si>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</si>
  <si>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</si>
  <si>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</si>
  <si>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</si>
  <si>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</si>
  <si>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</si>
  <si>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</si>
  <si>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</si>
  <si>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</si>
  <si>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</si>
  <si>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</si>
  <si>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</si>
  <si>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</si>
  <si>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</si>
  <si>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</si>
  <si>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</si>
  <si>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</si>
  <si>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</si>
  <si>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</si>
  <si>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</si>
  <si>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</si>
  <si>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</si>
  <si>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</si>
  <si>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</si>
  <si>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</si>
  <si>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</si>
  <si>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</si>
  <si>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</si>
  <si>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</si>
  <si>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</si>
  <si>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</si>
  <si>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</si>
  <si>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</si>
  <si>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</si>
  <si>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</si>
  <si>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</si>
  <si>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</si>
  <si>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</si>
  <si>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</si>
  <si>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</si>
  <si>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</si>
  <si>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</si>
  <si>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</si>
  <si>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</si>
  <si>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</si>
  <si>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</si>
  <si>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</si>
  <si>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</si>
  <si>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</si>
  <si>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</si>
  <si>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</si>
  <si>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</si>
  <si>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</si>
  <si>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</si>
  <si>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</si>
  <si>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</si>
  <si>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</si>
  <si>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</si>
  <si>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</si>
  <si>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</si>
  <si>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</si>
  <si>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</si>
  <si>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</si>
  <si>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</si>
  <si>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</si>
  <si>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</si>
  <si>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</si>
  <si>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</si>
  <si>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</si>
  <si>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</si>
  <si>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</si>
  <si>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</si>
  <si>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</si>
  <si>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</si>
  <si>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</si>
  <si>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</si>
  <si>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</si>
  <si>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</si>
  <si>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</si>
  <si>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</si>
  <si>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</si>
  <si>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</si>
  <si>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</si>
  <si>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</si>
  <si>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</si>
  <si>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</si>
  <si>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</si>
  <si>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</si>
  <si>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</si>
  <si>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</si>
  <si>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</si>
  <si>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</si>
  <si>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</si>
  <si>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</si>
  <si>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</si>
  <si>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</si>
  <si>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</si>
  <si>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</si>
  <si>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</si>
  <si>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</si>
  <si>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</si>
  <si>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</si>
  <si>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</si>
  <si>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</si>
  <si>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</si>
  <si>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</si>
  <si>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</si>
  <si>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</si>
  <si>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</si>
  <si>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</si>
  <si>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</si>
  <si>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</si>
  <si>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</si>
  <si>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</si>
  <si>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</si>
  <si>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</si>
  <si>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</si>
  <si>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</si>
  <si>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</si>
  <si>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</si>
  <si>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</si>
  <si>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</si>
  <si>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</si>
  <si>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</si>
  <si>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</si>
  <si>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</si>
  <si>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</si>
  <si>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</si>
  <si>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</si>
  <si>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</si>
  <si>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</si>
  <si>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</si>
  <si>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</si>
  <si>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</si>
  <si>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</si>
  <si>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</si>
  <si>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</si>
  <si>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</si>
  <si>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</si>
  <si>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</si>
  <si>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</si>
  <si>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</si>
  <si>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</si>
  <si>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</si>
  <si>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</si>
  <si>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</si>
  <si>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</si>
  <si>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</si>
  <si>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</si>
  <si>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</si>
  <si>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</si>
  <si>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</si>
  <si>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</si>
  <si>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</si>
  <si>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</si>
  <si>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</si>
  <si>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</si>
  <si>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</si>
  <si>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</si>
  <si>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</si>
  <si>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</si>
  <si>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</si>
  <si>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</si>
  <si>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</si>
  <si>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</si>
  <si>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</si>
  <si>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</si>
  <si>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</si>
  <si>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</si>
  <si>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</si>
  <si>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</si>
  <si>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</si>
  <si>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</si>
  <si>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</si>
  <si>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</si>
  <si>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</si>
  <si>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</si>
  <si>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</si>
  <si>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</si>
  <si>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</si>
  <si>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</si>
  <si>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</si>
  <si>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</si>
  <si>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</si>
  <si>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</si>
  <si>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</si>
  <si>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</si>
  <si>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</si>
  <si>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</si>
  <si>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</si>
  <si>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</si>
  <si>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</si>
  <si>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</si>
  <si>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</si>
  <si>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</si>
  <si>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</si>
  <si>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</si>
  <si>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</si>
  <si>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</si>
  <si>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</si>
  <si>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</si>
  <si>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</si>
  <si>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</si>
  <si>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</si>
  <si>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</si>
  <si>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</si>
  <si>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</si>
  <si>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</si>
  <si>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</si>
  <si>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</si>
  <si>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</si>
  <si>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</si>
  <si>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</si>
  <si>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</si>
  <si>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</si>
  <si>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</si>
  <si>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</si>
  <si>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</si>
  <si>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</si>
  <si>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</si>
  <si>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</si>
  <si>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</si>
  <si>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</si>
  <si>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</si>
  <si>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</si>
  <si>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</si>
  <si>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</si>
  <si>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</si>
  <si>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</si>
  <si>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</si>
  <si>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</si>
  <si>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</si>
  <si>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</si>
  <si>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</si>
  <si>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</si>
  <si>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</si>
  <si>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</si>
  <si>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</si>
  <si>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ZTR-ZIQ</t>
  </si>
  <si>
    <t>ZTRZIQ</t>
  </si>
  <si>
    <t>Esmerilhamento à 12,5km/h entre ZTR-ZIQ</t>
  </si>
  <si>
    <t>mc1 as 23:59h</t>
  </si>
  <si>
    <t>MC1 12:25, aguarda passagem M87 as 14h</t>
  </si>
  <si>
    <t>MC1  as 08:32, faixa após M87 as 14h</t>
  </si>
  <si>
    <t xml:space="preserve">Augusto </t>
  </si>
  <si>
    <t>MC1 06:20, em intervalo as 08:52</t>
  </si>
  <si>
    <t>N98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</si>
  <si>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</si>
  <si>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</si>
  <si>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</si>
  <si>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</si>
  <si>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</si>
  <si>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</si>
  <si>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</si>
  <si>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</si>
  <si>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</si>
  <si>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</si>
  <si>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</si>
  <si>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</si>
  <si>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</si>
  <si>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</si>
  <si>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</si>
  <si>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</si>
  <si>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</si>
  <si>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</si>
  <si>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Matheus</t>
  </si>
  <si>
    <t xml:space="preserve">Inspeção vagão via 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</si>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</sst>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F276" activePane="bottomRight" state="frozen"/>
      <selection pane="bottomRight" activeCell="L287" sqref="L2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0">
        <v>244</v>
      </c>
      <c r="F259" s="172"/>
      <c r="G259" s="9" t="str">
        <f>IF(D259="","*",VLOOKUP(F259,BS_ATIVIDADE[#All],3,FALSE))</f>
        <v>*</v>
      </c>
      <c r="H259" s="173"/>
      <c r="I259" s="173"/>
      <c r="J259" s="215"/>
      <c r="K259" s="215"/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6"/>
      <c r="W259" s="173"/>
      <c r="X259" s="216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6" t="str">
        <f>IF(BS_CONTROLE[[#This Row],[Local - Partida]]=0, "-", BS_CONTROLE[[#This Row],[Local - Partida]])</f>
        <v>-</v>
      </c>
      <c r="AL259" s="276" t="str">
        <f>IF(BS_CONTROLE[[#This Row],[Local - Encerramento]]=0, "-", BS_CONTROLE[[#This Row],[Local - Encerramento]])</f>
        <v>-</v>
      </c>
      <c r="AM259" s="276" t="str">
        <f>IF(BS_CONTROLE[[#This Row],[Entre - Estações]]=0, "-", BS_CONTROLE[[#This Row],[Entre - Estações]])</f>
        <v>-</v>
      </c>
      <c r="AN259" s="276" t="str">
        <f>IF(BS_CONTROLE[[#This Row],[SB]]=0, "-", BS_CONTROLE[[#This Row],[SB]])</f>
        <v>-</v>
      </c>
      <c r="AO259" s="277" t="str">
        <f>IF(BS_CONTROLE[[#This Row],[SUB]]=0, "-", BS_CONTROLE[[#This Row],[SUB]])</f>
        <v>-</v>
      </c>
      <c r="AP259" s="278" t="str">
        <f>IF(BS_CONTROLE[[#This Row],[KM - Inicio]]=0, "-", BS_CONTROLE[[#This Row],[KM - Inicio]])</f>
        <v>-</v>
      </c>
      <c r="AQ259" s="278" t="str">
        <f>IF(BS_CONTROLE[[#This Row],[KM - Fim]]=0, "-", BS_CONTROLE[[#This Row],[KM - Fim]])</f>
        <v>-</v>
      </c>
      <c r="AR259" s="240"/>
      <c r="AS259" s="240"/>
      <c r="AT259" s="240"/>
      <c r="AU259" s="38"/>
      <c r="AV259" s="38"/>
      <c r="AW259" s="38"/>
      <c r="AX259" s="38"/>
      <c r="AY259" s="30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79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3"/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1720</v>
      </c>
      <c r="N261" s="202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1722</v>
      </c>
      <c r="BK261" s="339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1724</v>
      </c>
      <c r="N262" s="202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1726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1730</v>
      </c>
      <c r="BK264" s="342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1734</v>
      </c>
      <c r="BK266" s="342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 t="shared" si="6"/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1736</v>
      </c>
      <c r="W268" s="173" t="s">
        <v>1737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 t="s">
        <v>1738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1739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1740</v>
      </c>
      <c r="BK269" s="16" t="s">
        <v>1740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1741</v>
      </c>
      <c r="BK270" s="340" t="s">
        <v>1741</v>
      </c>
      <c r="BL270" s="15"/>
      <c r="BM270" s="14"/>
      <c r="BN270" s="14"/>
      <c r="BO270" s="165"/>
      <c r="BP270" s="16"/>
      <c r="BQ270" s="12"/>
      <c r="BR270" s="18"/>
      <c r="BS270" s="18"/>
      <c r="BT270" s="223"/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/>
      <c r="AU271" s="38"/>
      <c r="AV271" s="38"/>
      <c r="AW271" s="38"/>
      <c r="AX271" s="38"/>
      <c r="AY271" s="309" t="str">
        <f>IF(D271="","*",IFERROR(IF(ISODD(COUNT(AS271:AX271)),"ERRO",SUM((AT271-AS271),(AV271-AU271),(AX271-AW271))),"ERRO"))</f>
        <v>ERRO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1742</v>
      </c>
      <c r="BK271" s="16" t="s">
        <v>1742</v>
      </c>
      <c r="BL271" s="15"/>
      <c r="BM271" s="14"/>
      <c r="BN271" s="14"/>
      <c r="BO271" s="165"/>
      <c r="BP271" s="16"/>
      <c r="BQ271" s="12" t="e">
        <f>IF(AND(BR271&lt;1,BS271&lt;1),"Produção e Intervalo",IF(BR271&lt;1,"Intervalo",IF(BS271&lt;1,"Produção","Aderente")))</f>
        <v>#VALUE!</v>
      </c>
      <c r="BR271" s="18" t="e">
        <f>IF(OR(B271="",F271=""),"*",AY271/P271)</f>
        <v>#VALUE!</v>
      </c>
      <c r="BS271" s="18">
        <f>IF(OR(B271="",F271=""),"*",BA271/Q271)</f>
        <v>0</v>
      </c>
      <c r="BT271" s="223" t="str">
        <f t="shared" ref="BT271" si="8">IF(BN271="","",SUBSTITUTE(BM271," ","")&amp;SUBSTITUTE(BN271," ",""))</f>
        <v/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1743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1744</v>
      </c>
      <c r="BK272" s="340" t="s">
        <v>1744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/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1745</v>
      </c>
      <c r="J273" s="215">
        <v>74</v>
      </c>
      <c r="K273" s="215">
        <v>26</v>
      </c>
      <c r="L273" s="83" t="s">
        <v>608</v>
      </c>
      <c r="M273" s="202" t="s">
        <v>1746</v>
      </c>
      <c r="N273" s="202" t="s">
        <v>1747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1748</v>
      </c>
      <c r="BK273" s="16" t="s">
        <v>1748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0.60277777777777775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0.12499999999999994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1749</v>
      </c>
      <c r="BK274" s="16" t="s">
        <v>1749</v>
      </c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</v>
      </c>
      <c r="BR274" s="18">
        <f>IF(OR(B274="",F274=""),"*",AY274/P274)</f>
        <v>0.99999999999999956</v>
      </c>
      <c r="BS274" s="18">
        <f>IF(OR(B274="",F274=""),"*",BA274/Q274)</f>
        <v>0</v>
      </c>
      <c r="BT274" s="223" t="str">
        <f>IF(BN274="","",SUBSTITUTE(BM274," ","")&amp;SUBSTITUTE(BN274," ",""))</f>
        <v/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1750</v>
      </c>
      <c r="N275" s="202" t="s">
        <v>1751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1752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1753</v>
      </c>
      <c r="BK275" s="342" t="s">
        <v>1753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1754</v>
      </c>
      <c r="BK276" s="16" t="s">
        <v>1754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1755</v>
      </c>
      <c r="BK277" s="342" t="s">
        <v>1755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/>
      <c r="AU278" s="240"/>
      <c r="AV278" s="240"/>
      <c r="AW278" s="240"/>
      <c r="AX278" s="38"/>
      <c r="AY278" s="309" t="str">
        <f>IF(D278="","*",IFERROR(IF(ISODD(COUNT(AS278:AX278)),"ERRO",SUM((AT278-AS278),(AV278-AU278),(AX278-AW278))),"ERRO"))</f>
        <v>ERRO</v>
      </c>
      <c r="AZ278" s="13"/>
      <c r="BA278" s="71"/>
      <c r="BB278" s="10" t="str">
        <f>IFERROR(_xlfn.XLOOKUP(AI278, BS_ATIVIDADE[ATIVIDADE],BS_ATIVIDADE[UNIDADE] ), "*")</f>
        <v>BINÁRIO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1756</v>
      </c>
      <c r="BG278" s="15"/>
      <c r="BH278" s="16">
        <v>1</v>
      </c>
      <c r="BI278" s="16"/>
      <c r="BJ278" s="340" t="s">
        <v>1757</v>
      </c>
      <c r="BK278" s="340" t="s">
        <v>1757</v>
      </c>
      <c r="BL278" s="15"/>
      <c r="BM278" s="14"/>
      <c r="BN278" s="14"/>
      <c r="BO278" s="165"/>
      <c r="BP278" s="16"/>
      <c r="BQ278" s="12"/>
      <c r="BR278" s="18"/>
      <c r="BS278" s="18"/>
      <c r="BT278" s="223"/>
    </row>
    <row r="279" spans="1:72">
      <c r="A279" s="50" t="str">
        <f>D279&amp;B279</f>
        <v>N9846013</v>
      </c>
      <c r="B279" s="341">
        <v>46013</v>
      </c>
      <c r="C279" s="8">
        <f>IF(BS_CONTROLE[[#This Row],[DATA]]="","",WEEKNUM(BS_CONTROLE[[#This Row],[DATA]]))</f>
        <v>52</v>
      </c>
      <c r="D279" s="51" t="s">
        <v>1758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1759</v>
      </c>
      <c r="I279" s="173" t="s">
        <v>1759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1760</v>
      </c>
      <c r="W279" s="343" t="s">
        <v>1761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/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1762</v>
      </c>
      <c r="BK279" s="16" t="s">
        <v>1762</v>
      </c>
      <c r="BL279" s="15"/>
      <c r="BM279" s="14"/>
      <c r="BN279" s="14"/>
      <c r="BO279" s="165"/>
      <c r="BP279" s="16"/>
      <c r="BQ279" s="12" t="str">
        <f>IF(AND(BR279&lt;1,BS279&lt;1),"Produção e Intervalo",IF(BR279&lt;1,"Intervalo",IF(BS279&lt;1,"Produção","Aderente")))</f>
        <v>Produção e Intervalo</v>
      </c>
      <c r="BR279" s="18">
        <f>IF(OR(B279="",F279=""),"*",AY279/P279)</f>
        <v>0</v>
      </c>
      <c r="BS279" s="18">
        <f>IF(OR(B279="",F279=""),"*",BA279/Q279)</f>
        <v>0</v>
      </c>
      <c r="BT279" s="223" t="str">
        <f t="shared" si="6"/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1763</v>
      </c>
      <c r="N280" s="202" t="s">
        <v>1764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1736</v>
      </c>
      <c r="W280" s="173" t="s">
        <v>1765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1766</v>
      </c>
      <c r="BK280" s="16" t="s">
        <v>1766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 t="shared" si="6"/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 t="shared" si="6"/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 t="shared" si="6"/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1767</v>
      </c>
      <c r="J283" s="215">
        <v>98</v>
      </c>
      <c r="K283" s="215">
        <v>616.654</v>
      </c>
      <c r="L283" s="83">
        <v>497.9</v>
      </c>
      <c r="M283" s="202" t="s">
        <v>1768</v>
      </c>
      <c r="N283" s="202" t="s">
        <v>1768</v>
      </c>
      <c r="O283" s="173">
        <v>0.375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1769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1769</v>
      </c>
      <c r="W285" s="173" t="s">
        <v>1770</v>
      </c>
      <c r="X285" s="216" t="s">
        <v>959</v>
      </c>
      <c r="Y285" s="158"/>
      <c r="Z285" s="158"/>
      <c r="AA285" s="83" t="s">
        <v>1771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/>
      <c r="I286" s="173"/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/>
      <c r="P286" s="173"/>
      <c r="Q286" s="83"/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/>
      <c r="W286" s="173"/>
      <c r="X286" s="216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-</v>
      </c>
      <c r="AL286" s="276" t="str">
        <f>IF(BS_CONTROLE[[#This Row],[Local - Encerramento]]=0, "-", BS_CONTROLE[[#This Row],[Local - Encerramento]])</f>
        <v>-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e">
        <f>IF(AND(BR286&lt;1,BS286&lt;1),"Produção e Intervalo",IF(BR286&lt;1,"Intervalo",IF(BS286&lt;1,"Produção","Aderente")))</f>
        <v>#DIV/0!</v>
      </c>
      <c r="BR286" s="18" t="e">
        <f>IF(OR(B286="",F286=""),"*",AY286/P286)</f>
        <v>#DIV/0!</v>
      </c>
      <c r="BS286" s="18" t="e">
        <f>IF(OR(B286="",F286=""),"*",BA286/Q286)</f>
        <v>#DIV/0!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1772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1773</v>
      </c>
      <c r="N292" s="202" t="s">
        <v>1774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1775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/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/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/>
      <c r="W296" s="173"/>
      <c r="X296" s="216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N9846014</v>
      </c>
      <c r="B297" s="171">
        <v>46014</v>
      </c>
      <c r="C297" s="8">
        <f>IF(BS_CONTROLE[[#This Row],[DATA]]="","",WEEKNUM(BS_CONTROLE[[#This Row],[DATA]]))</f>
        <v>52</v>
      </c>
      <c r="D297" s="51" t="s">
        <v>1758</v>
      </c>
      <c r="E297" s="310">
        <v>277</v>
      </c>
      <c r="F297" s="172" t="s">
        <v>825</v>
      </c>
      <c r="G297" s="9" t="str">
        <f>IF(D297="","*",VLOOKUP(F297,BS_ATIVIDADE[#All],3,FALSE))</f>
        <v>OUTROS</v>
      </c>
      <c r="H297" s="173" t="s">
        <v>1776</v>
      </c>
      <c r="I297" s="173" t="s">
        <v>1776</v>
      </c>
      <c r="J297" s="215">
        <v>72</v>
      </c>
      <c r="K297" s="215">
        <v>260</v>
      </c>
      <c r="L297" s="83" t="s">
        <v>608</v>
      </c>
      <c r="M297" s="202" t="s">
        <v>1511</v>
      </c>
      <c r="N297" s="202" t="s">
        <v>1512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1777</v>
      </c>
      <c r="W297" s="173" t="s">
        <v>1778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 xml:space="preserve">INSPEÇÃO 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ZTO-ZXE</v>
      </c>
      <c r="AN297" s="276" t="str">
        <f>IF(BS_CONTROLE[[#This Row],[SB]]=0, "-", BS_CONTROLE[[#This Row],[SB]])</f>
        <v>ZTOZXE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Matheus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9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1779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9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9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9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9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9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9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9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9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9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9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9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9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9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9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9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9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9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9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9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9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9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9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9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9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9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9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9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9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9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9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9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9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9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9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9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9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9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9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9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9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9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9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9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9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9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9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9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9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9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9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9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9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9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9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9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9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9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9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9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9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9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9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9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0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0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0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0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0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0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0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0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0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0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0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0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0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0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0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0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0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0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0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0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0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0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0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0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0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0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0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0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0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0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0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0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0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0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0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0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0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0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0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0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0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0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0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0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0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0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0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0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0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0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0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0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0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1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1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1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1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1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1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1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1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1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1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1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1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1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1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1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1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1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1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1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1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2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2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2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2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2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2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2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2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2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2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2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2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2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2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2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2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2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2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2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2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2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2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2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2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2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2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2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2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2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2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2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2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2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2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2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2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2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2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2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2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2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3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4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4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4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4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4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4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4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4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4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4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4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4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4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4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4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4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4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4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4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4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4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4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4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4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4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4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4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4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4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4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4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4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4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4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4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4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4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4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4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4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4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4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4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4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4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4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79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79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8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8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1780</v>
      </c>
      <c r="D5" s="386"/>
      <c r="E5" s="386"/>
      <c r="F5" s="386"/>
      <c r="G5" s="386"/>
      <c r="H5" s="386"/>
      <c r="I5" s="386"/>
      <c r="J5" s="387"/>
      <c r="K5" s="388" t="s">
        <v>1781</v>
      </c>
      <c r="L5" s="389"/>
      <c r="M5" s="389"/>
      <c r="N5" s="389"/>
      <c r="O5" s="390" t="s">
        <v>1782</v>
      </c>
      <c r="P5" s="391"/>
      <c r="Q5" s="392"/>
    </row>
    <row r="6" spans="1:17" s="93" customFormat="1" ht="15.75" customHeight="1">
      <c r="A6" s="87" t="s">
        <v>1783</v>
      </c>
      <c r="B6" s="94" t="s">
        <v>1784</v>
      </c>
      <c r="C6" s="95" t="s">
        <v>1171</v>
      </c>
      <c r="D6" s="96" t="s">
        <v>1172</v>
      </c>
      <c r="E6" s="95" t="s">
        <v>1785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1786</v>
      </c>
      <c r="M6" s="139" t="s">
        <v>627</v>
      </c>
      <c r="N6" s="140" t="s">
        <v>1166</v>
      </c>
      <c r="O6" s="244" t="s">
        <v>1209</v>
      </c>
      <c r="P6" s="157"/>
      <c r="Q6" s="192" t="s">
        <v>1787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0.375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*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*</v>
      </c>
      <c r="G288" s="99" t="str">
        <f>IF(FN_MC!M286="","*",FN_MC!M286)</f>
        <v>TBR-TGR</v>
      </c>
      <c r="H288" s="154">
        <f>IF(FN_MC!K286="","*",FN_MC!K286)</f>
        <v>483.803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*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N98</v>
      </c>
      <c r="F299" s="99" t="str">
        <f>IF(FN_MC!H297="","*",FN_MC!H297)</f>
        <v>ZTOZFT3</v>
      </c>
      <c r="G299" s="99" t="str">
        <f>IF(FN_MC!M297="","*",FN_MC!M297)</f>
        <v>ZTO-ZXE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ZTO-ZXE</v>
      </c>
      <c r="M299" s="141">
        <f>IF(FN_MC!AP297="","*",FN_MC!AP297)</f>
        <v>260</v>
      </c>
      <c r="N299" s="141" t="str">
        <f>IF(FN_MC!AM297="","*",FN_MC!AM297)</f>
        <v>ZTO-ZXE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1787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1788</v>
      </c>
      <c r="W1" s="398"/>
      <c r="X1" s="398"/>
      <c r="Y1" s="104"/>
    </row>
    <row r="2" spans="1:25" s="100" customFormat="1" ht="11.25" customHeight="1">
      <c r="A2" s="105" t="s">
        <v>1789</v>
      </c>
      <c r="B2" s="105" t="s">
        <v>1784</v>
      </c>
      <c r="C2" s="105" t="s">
        <v>603</v>
      </c>
      <c r="D2" s="106" t="s">
        <v>1171</v>
      </c>
      <c r="E2" s="106" t="s">
        <v>1172</v>
      </c>
      <c r="F2" s="106" t="s">
        <v>1783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1790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88" t="str">
        <f>IF(FN_MC!K259="","*",FN_MC!K259)</f>
        <v>*</v>
      </c>
      <c r="O257" s="288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0.375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*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*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*</v>
      </c>
      <c r="U294" s="110" t="str">
        <f>IF(FN_MC!W296="","*",FN_MC!W296)</f>
        <v>*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N98</v>
      </c>
      <c r="H295" s="110" t="str">
        <f>IF(FN_MC!F297="","*",FN_MC!F297)</f>
        <v xml:space="preserve">INSPEÇÃO 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ZTO-ZXE</v>
      </c>
      <c r="L295" s="110" t="str">
        <f>IF(FN_MC!N297="","*",FN_MC!N297)</f>
        <v>ZTOZXE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Matheus</v>
      </c>
      <c r="U295" s="110" t="str">
        <f>IF(FN_MC!W297="","*",FN_MC!W297)</f>
        <v xml:space="preserve">Inspeção vagão via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1792</v>
      </c>
      <c r="C2" s="95" t="s">
        <v>1157</v>
      </c>
      <c r="D2" s="95" t="s">
        <v>596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1" t="s">
        <v>1799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1801</v>
      </c>
      <c r="C4" s="318" t="s">
        <v>1802</v>
      </c>
      <c r="D4" s="318" t="s">
        <v>1803</v>
      </c>
      <c r="E4" s="318" t="s">
        <v>1804</v>
      </c>
      <c r="F4" s="318" t="s">
        <v>6</v>
      </c>
      <c r="G4" s="318" t="s">
        <v>1805</v>
      </c>
      <c r="H4" s="191"/>
    </row>
    <row r="5" spans="1:8">
      <c r="A5" s="191"/>
      <c r="B5" s="319" t="s">
        <v>1806</v>
      </c>
      <c r="C5" s="319">
        <v>309525</v>
      </c>
      <c r="D5" s="319" t="s">
        <v>1807</v>
      </c>
      <c r="E5" s="319" t="s">
        <v>844</v>
      </c>
      <c r="F5" s="319" t="s">
        <v>1808</v>
      </c>
      <c r="G5" s="320">
        <v>46296</v>
      </c>
      <c r="H5" s="191"/>
    </row>
    <row r="6" spans="1:8">
      <c r="A6" s="191"/>
      <c r="B6" s="319" t="s">
        <v>1809</v>
      </c>
      <c r="C6" s="319">
        <v>256875</v>
      </c>
      <c r="D6" s="319" t="s">
        <v>1810</v>
      </c>
      <c r="E6" s="319" t="s">
        <v>844</v>
      </c>
      <c r="F6" s="319" t="s">
        <v>1808</v>
      </c>
      <c r="G6" s="320">
        <v>46296</v>
      </c>
      <c r="H6" s="191"/>
    </row>
    <row r="7" spans="1:8">
      <c r="A7" s="191"/>
      <c r="B7" s="319" t="s">
        <v>1811</v>
      </c>
      <c r="C7" s="319">
        <v>257278</v>
      </c>
      <c r="D7" s="319" t="s">
        <v>1812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1813</v>
      </c>
      <c r="C8" s="319">
        <v>261794</v>
      </c>
      <c r="D8" s="319" t="s">
        <v>1814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1815</v>
      </c>
      <c r="C9" s="319">
        <v>257033</v>
      </c>
      <c r="D9" s="319" t="s">
        <v>1816</v>
      </c>
      <c r="E9" s="319" t="s">
        <v>835</v>
      </c>
      <c r="F9" s="319" t="s">
        <v>192</v>
      </c>
      <c r="G9" s="319" t="s">
        <v>1817</v>
      </c>
      <c r="H9" s="191"/>
    </row>
    <row r="10" spans="1:8">
      <c r="A10" s="191"/>
      <c r="B10" s="319" t="s">
        <v>1818</v>
      </c>
      <c r="C10" s="319">
        <v>396578</v>
      </c>
      <c r="D10" s="319" t="s">
        <v>1819</v>
      </c>
      <c r="E10" s="319" t="s">
        <v>835</v>
      </c>
      <c r="F10" s="319" t="s">
        <v>192</v>
      </c>
      <c r="G10" s="319" t="s">
        <v>1817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1821</v>
      </c>
      <c r="E3" s="315" t="s">
        <v>1822</v>
      </c>
      <c r="F3" s="315" t="s">
        <v>1823</v>
      </c>
      <c r="G3" s="315" t="s">
        <v>1824</v>
      </c>
      <c r="H3" s="315" t="s">
        <v>1825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1826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1827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2025-12-22T16:06:42Z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