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70" documentId="8_{B6337239-1A00-434D-AAD0-422EA1FEB5AE}" xr6:coauthVersionLast="47" xr6:coauthVersionMax="47" xr10:uidLastSave="{A696A5AF-013F-48A1-A112-463612453C7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5" hidden="1">'CONTROLE D+1'!$A$2:$Y$3000</definedName>
    <definedName name="_xlnm._FilterDatabase" localSheetId="4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<sst xmlns="http://schemas.openxmlformats.org/spreadsheetml/2006/main" count="4689" uniqueCount="1297">
  <si>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</si>
  <si>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</si>
  <si>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</si>
  <si>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</si>
  <si>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</si>
  <si>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</si>
  <si>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</si>
  <si>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</si>
  <si>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</si>
  <si>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</si>
  <si>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</si>
  <si>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</si>
  <si>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</si>
  <si>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</si>
  <si>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</si>
  <si>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</si>
  <si>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</si>
  <si>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</si>
  <si>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</si>
  <si>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</si>
  <si>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</si>
  <si>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</si>
  <si>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</si>
  <si>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</si>
  <si>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</si>
  <si>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</si>
  <si>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</si>
  <si>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</si>
  <si>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</si>
  <si>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</si>
  <si>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</si>
  <si>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</si>
  <si>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</si>
  <si>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</si>
  <si>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</si>
  <si>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</si>
  <si>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</si>
  <si>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</si>
  <si>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</si>
  <si>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</si>
  <si>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</si>
  <si>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</si>
  <si>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</si>
  <si>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</si>
  <si>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</si>
  <si>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</si>
  <si>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</si>
  <si>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</si>
  <si>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</si>
  <si>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</si>
  <si>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</si>
  <si>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</si>
  <si>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</si>
  <si>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</si>
  <si>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</si>
  <si>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</si>
  <si>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</si>
  <si>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</si>
  <si>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</si>
  <si>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</si>
  <si>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</si>
  <si>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</si>
  <si>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</si>
  <si>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</si>
  <si>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</si>
  <si>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</si>
  <si>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</si>
  <si>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</si>
  <si>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</si>
  <si>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</si>
  <si>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</si>
  <si>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</si>
  <si>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</si>
  <si>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</si>
  <si>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</si>
  <si>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</si>
  <si>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</si>
  <si>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</si>
  <si>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</si>
  <si>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</si>
  <si>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</si>
  <si>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</si>
  <si>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</si>
  <si>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</si>
  <si>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</si>
  <si>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</si>
  <si>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</si>
  <si>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</si>
  <si>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</si>
  <si>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</si>
  <si>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</si>
  <si>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</si>
  <si>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</si>
  <si>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</si>
  <si>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</si>
  <si>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</si>
  <si>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</si>
  <si>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</si>
  <si>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</si>
  <si>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</si>
  <si>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</si>
  <si>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</si>
  <si>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</si>
  <si>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</si>
  <si>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</si>
  <si>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</si>
  <si>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</si>
  <si>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</si>
  <si>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</si>
  <si>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</si>
  <si>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</si>
  <si>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</si>
  <si>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</si>
  <si>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</si>
  <si>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</si>
  <si>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</si>
  <si>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</si>
  <si>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</si>
  <si>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</si>
  <si>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</si>
  <si>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</si>
  <si>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</si>
  <si>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</si>
  <si>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</si>
  <si>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</si>
  <si>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</si>
  <si>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</si>
  <si>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</si>
  <si>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</si>
  <si>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</si>
  <si>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</si>
  <si>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</si>
  <si>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</si>
  <si>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</si>
  <si>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</si>
  <si>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</si>
  <si>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</si>
  <si>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</si>
  <si>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</si>
  <si>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</si>
  <si>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</si>
  <si>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</si>
  <si>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</si>
  <si>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</si>
  <si>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</si>
  <si>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</si>
  <si>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</si>
  <si>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</si>
  <si>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</si>
  <si>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</si>
  <si>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</si>
  <si>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</si>
  <si>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</si>
  <si>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</si>
  <si>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</si>
  <si>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</si>
  <si>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</si>
  <si>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</si>
  <si>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</si>
  <si>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</si>
  <si>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</si>
  <si>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</si>
  <si>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</si>
  <si>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</si>
  <si>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</si>
  <si>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</si>
  <si>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</si>
  <si>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</si>
  <si>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</si>
  <si>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</si>
  <si>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</si>
  <si>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</si>
  <si>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</si>
  <si>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</si>
  <si>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</si>
  <si>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</si>
  <si>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</si>
  <si>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</si>
  <si>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</si>
  <si>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</si>
  <si>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</si>
  <si>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</si>
  <si>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</si>
  <si>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</si>
  <si>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</si>
  <si>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</si>
  <si>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</si>
  <si>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</si>
  <si>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</si>
  <si>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</si>
  <si>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</si>
  <si>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</si>
  <si>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</si>
  <si>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</si>
  <si>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</si>
  <si>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</si>
  <si>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</si>
  <si>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</si>
  <si>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</si>
  <si>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</si>
  <si>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</si>
  <si>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</si>
  <si>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</si>
  <si>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</si>
  <si>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</si>
  <si>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</si>
  <si>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</si>
  <si>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</si>
  <si>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</si>
  <si>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</si>
  <si>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</si>
  <si>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</si>
  <si>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</si>
  <si>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</si>
  <si>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</si>
  <si>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</si>
  <si>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</si>
  <si>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</si>
  <si>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</si>
  <si>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</si>
  <si>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</si>
  <si>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</si>
  <si>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</si>
  <si>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</si>
  <si>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</si>
  <si>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</si>
  <si>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</si>
  <si>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</si>
  <si>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</si>
  <si>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</si>
  <si>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</si>
  <si>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</si>
  <si>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</si>
  <si>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</si>
  <si>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</si>
  <si>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</si>
  <si>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</si>
  <si>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</si>
  <si>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</si>
  <si>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</si>
  <si>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</si>
  <si>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</si>
  <si>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</si>
  <si>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</si>
  <si>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</si>
  <si>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</si>
  <si>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</si>
  <si>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</si>
  <si>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</si>
  <si>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</si>
  <si>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</si>
  <si>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</si>
  <si>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</si>
  <si>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</si>
  <si>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</si>
  <si>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</si>
  <si>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</si>
  <si>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</si>
  <si>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</si>
  <si>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</si>
  <si>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</si>
  <si>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</si>
  <si>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</si>
  <si>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</si>
  <si>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</si>
  <si>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</si>
  <si>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</si>
  <si>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</si>
  <si>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</si>
  <si>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</si>
  <si>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</si>
  <si>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</si>
  <si>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</si>
  <si>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</si>
  <si>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</si>
  <si>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</si>
  <si>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</si>
  <si>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</si>
  <si>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</si>
  <si>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</si>
  <si>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</si>
  <si>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</si>
  <si>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</si>
  <si>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</si>
  <si>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</si>
  <si>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</si>
  <si>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</si>
  <si>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</si>
  <si>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</si>
  <si>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</si>
  <si>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</si>
  <si>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</si>
  <si>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</si>
  <si>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</si>
  <si>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</si>
  <si>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</si>
  <si>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</si>
  <si>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</si>
  <si>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</si>
  <si>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</si>
  <si>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</si>
  <si>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</si>
  <si>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</si>
  <si>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</si>
  <si>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</si>
  <si>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</si>
  <si>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</si>
  <si>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</si>
  <si>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</si>
  <si>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</si>
  <si>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</si>
  <si>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</si>
  <si>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</si>
  <si>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</si>
  <si>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</si>
  <si>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</si>
  <si>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</si>
  <si>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</si>
  <si>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</si>
  <si>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</si>
  <si>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</si>
  <si>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</si>
  <si>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</si>
  <si>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</si>
  <si>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</si>
  <si>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</si>
  <si>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</si>
  <si>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</si>
  <si>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</si>
  <si>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</si>
  <si>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</si>
  <si>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</si>
  <si>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</si>
  <si>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</si>
  <si>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</si>
  <si>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</si>
  <si>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</si>
  <si>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</si>
  <si>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</si>
  <si>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</si>
  <si>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</si>
  <si>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</si>
  <si>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</si>
  <si>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</si>
  <si>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</si>
  <si>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</si>
  <si>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</si>
  <si>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</si>
  <si>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</si>
  <si>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</si>
  <si>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</si>
  <si>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</si>
  <si>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</si>
  <si>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</si>
  <si>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</si>
  <si>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</si>
  <si>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</si>
  <si>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</si>
  <si>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</si>
  <si>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</si>
  <si>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</si>
  <si>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</si>
  <si>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</si>
  <si>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</si>
  <si>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</si>
  <si>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</si>
  <si>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</si>
  <si>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</si>
  <si>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</si>
  <si>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</si>
  <si>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</si>
  <si>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</si>
  <si>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</si>
  <si>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</si>
  <si>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</si>
  <si>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</si>
  <si>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</si>
  <si>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</si>
  <si>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</si>
  <si>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</si>
  <si>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</si>
  <si>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</si>
  <si>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</si>
  <si>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</si>
  <si>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</si>
  <si>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</si>
  <si>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</si>
  <si>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</si>
  <si>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</si>
  <si>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</si>
  <si>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</si>
  <si>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</si>
  <si>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</si>
  <si>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</si>
  <si>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</si>
  <si>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</si>
  <si>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</si>
  <si>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</si>
  <si>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</si>
  <si>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</si>
  <si>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</si>
  <si>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</si>
  <si>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</si>
  <si>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</si>
  <si>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</si>
  <si>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</si>
  <si>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</si>
  <si>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</si>
  <si>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</si>
  <si>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</si>
  <si>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</si>
  <si>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</si>
  <si>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</si>
  <si>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</si>
  <si>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</si>
  <si>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</si>
  <si>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</si>
  <si>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</si>
  <si>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</si>
  <si>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</si>
  <si>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</si>
  <si>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</si>
  <si>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</si>
  <si>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</si>
  <si>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</si>
  <si>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</si>
  <si>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</si>
  <si>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</si>
  <si>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</si>
  <si>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</si>
  <si>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</si>
  <si>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</si>
  <si>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</si>
  <si>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</si>
  <si>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</si>
  <si>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</si>
  <si>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</si>
  <si>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</si>
  <si>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</si>
  <si>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</si>
  <si>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</si>
  <si>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</si>
  <si>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</si>
  <si>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</si>
  <si>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</si>
  <si>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</si>
  <si>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</si>
  <si>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</si>
  <si>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</si>
  <si>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</si>
  <si>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</si>
  <si>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</si>
  <si>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</si>
  <si>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</si>
  <si>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</si>
  <si>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</si>
  <si>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</si>
  <si>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</si>
  <si>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</si>
  <si>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</si>
  <si>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</si>
  <si>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</si>
  <si>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</si>
  <si>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</si>
  <si>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</si>
  <si>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</si>
  <si>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</si>
  <si>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</si>
  <si>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</si>
  <si>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</si>
  <si>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</si>
  <si>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</si>
  <si>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</si>
  <si>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</si>
  <si>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</si>
  <si>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</si>
  <si>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</si>
  <si>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</si>
  <si>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</si>
  <si>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</si>
  <si>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</si>
  <si>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</si>
  <si>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</si>
  <si>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</si>
  <si>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</si>
  <si>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</si>
  <si>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</si>
  <si>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</si>
  <si>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</si>
  <si>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</si>
  <si>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</si>
  <si>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</si>
  <si>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</si>
  <si>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</si>
  <si>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</si>
  <si>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</si>
  <si>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</si>
  <si>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</si>
  <si>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</si>
  <si>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</si>
  <si>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</si>
  <si>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</si>
  <si>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</si>
  <si>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</si>
  <si>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</si>
  <si>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</si>
  <si>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</si>
  <si>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</si>
  <si>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</si>
  <si>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</si>
  <si>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</si>
  <si>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</si>
  <si>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</si>
  <si>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</si>
  <si>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</si>
  <si>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</si>
  <si>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</si>
  <si>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</si>
  <si>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</si>
  <si>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</si>
  <si>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</si>
  <si>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</si>
  <si>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</si>
  <si>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</si>
  <si>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</si>
  <si>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</si>
  <si>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</si>
  <si>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</si>
  <si>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</si>
  <si>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</si>
  <si>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</si>
  <si>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</si>
  <si>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</si>
  <si>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</si>
  <si>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</si>
  <si>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</si>
  <si>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</si>
  <si>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</si>
  <si>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</si>
  <si>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</si>
  <si>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</si>
  <si>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</si>
  <si>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</si>
  <si>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</si>
  <si>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</si>
  <si>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</si>
  <si>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</si>
  <si>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</si>
  <si>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</si>
  <si>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</si>
  <si>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</si>
  <si>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</si>
  <si>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</si>
  <si>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</si>
  <si>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</si>
  <si>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</si>
  <si>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</si>
  <si>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</si>
  <si>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</si>
  <si>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</si>
  <si>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</si>
  <si>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</si>
  <si>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</si>
  <si>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</si>
  <si>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</si>
  <si>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</si>
  <si>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</si>
  <si>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</si>
  <si>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</si>
  <si>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</si>
  <si>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</si>
  <si>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</si>
  <si>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</si>
  <si>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</si>
  <si>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</si>
  <si>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</si>
  <si>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</si>
  <si>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</si>
  <si>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</si>
  <si>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</si>
  <si>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</si>
  <si>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</si>
  <si>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</si>
  <si>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</si>
  <si>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</si>
  <si>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</si>
  <si>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</si>
  <si>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</si>
  <si>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</si>
  <si>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</si>
  <si>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</si>
  <si>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</si>
  <si>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</si>
  <si>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</si>
  <si>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</si>
  <si>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</si>
  <si>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</si>
  <si>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</si>
  <si>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</si>
  <si>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</si>
  <si>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</si>
  <si>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</si>
  <si>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</si>
  <si>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</si>
  <si>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</si>
  <si>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</si>
  <si>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</si>
  <si>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</si>
  <si>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</si>
  <si>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</si>
  <si>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</si>
  <si>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</si>
  <si>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</si>
  <si>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</si>
  <si>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</si>
  <si>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</si>
  <si>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</si>
  <si>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</si>
  <si>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</si>
  <si>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</si>
  <si>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</si>
  <si>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</si>
  <si>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</si>
  <si>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</si>
  <si>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</si>
  <si>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</si>
  <si>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</si>
  <si>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</si>
  <si>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</si>
  <si>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</si>
  <si>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</si>
  <si>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</si>
  <si>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</si>
  <si>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</si>
  <si>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</si>
  <si>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</si>
  <si>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</si>
  <si>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</si>
  <si>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</si>
  <si>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</si>
  <si>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</si>
  <si>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</si>
  <si>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</si>
  <si>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</si>
  <si>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</si>
  <si>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</si>
  <si>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</si>
  <si>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</si>
  <si>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</si>
  <si>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</si>
  <si>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</si>
  <si>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</si>
  <si>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</si>
  <si>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</si>
  <si>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</si>
  <si>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</si>
  <si>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</si>
  <si>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</si>
  <si>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</si>
  <si>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</si>
  <si>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</si>
  <si>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</si>
  <si>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</si>
  <si>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</si>
  <si>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</si>
  <si>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</si>
  <si>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</si>
  <si>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</si>
  <si>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</si>
  <si>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</si>
  <si>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</si>
  <si>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</si>
  <si>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</si>
  <si>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</si>
  <si>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</si>
  <si>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</si>
  <si>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</si>
  <si>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</si>
  <si>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</si>
  <si>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</si>
  <si>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</si>
  <si>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</si>
  <si>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</si>
  <si>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</si>
  <si>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</si>
  <si>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</si>
  <si>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</si>
  <si>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</si>
  <si>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</si>
  <si>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</si>
  <si>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</si>
  <si>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</si>
  <si>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</si>
  <si>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</si>
  <si>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</si>
  <si>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</si>
  <si>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</si>
  <si>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</si>
  <si>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</si>
  <si>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</si>
  <si>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</si>
  <si>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</si>
  <si>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</si>
  <si>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</si>
  <si>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</si>
  <si>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</si>
  <si>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</si>
  <si>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</si>
  <si>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</si>
  <si>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</si>
  <si>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</si>
  <si>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</si>
  <si>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</si>
  <si>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</si>
  <si>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</si>
  <si>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</si>
  <si>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</si>
  <si>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</si>
  <si>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</si>
  <si>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</si>
  <si>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</si>
  <si>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</si>
  <si>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</si>
  <si>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</si>
  <si>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</si>
  <si>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</si>
  <si>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</si>
  <si>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</si>
  <si>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</si>
  <si>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</si>
  <si>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</si>
  <si>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</si>
  <si>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</si>
  <si>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</si>
  <si>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</si>
  <si>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</si>
  <si>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</si>
  <si>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</si>
  <si>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</si>
  <si>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</si>
  <si>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</si>
  <si>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</si>
  <si>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</si>
  <si>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</si>
  <si>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</si>
  <si>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</si>
  <si>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</si>
  <si>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</si>
  <si>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</si>
  <si>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</si>
  <si>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</si>
  <si>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</si>
  <si>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</si>
  <si>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</si>
  <si>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</si>
  <si>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</si>
  <si>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</si>
  <si>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</si>
  <si>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</si>
  <si>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</si>
  <si>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</si>
  <si>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</si>
  <si>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</si>
  <si>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</si>
  <si>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</si>
  <si>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</si>
  <si>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</si>
  <si>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</si>
  <si>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</si>
  <si>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</si>
  <si>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</si>
  <si>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</si>
  <si>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</si>
  <si>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</si>
  <si>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</si>
  <si>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</si>
  <si>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</si>
  <si>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</si>
  <si>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</si>
  <si>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</si>
  <si>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</si>
  <si>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</si>
  <si>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</si>
  <si>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</si>
  <si>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</si>
  <si>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</si>
  <si>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</si>
  <si>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</si>
  <si>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</si>
  <si>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</si>
  <si>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</si>
  <si>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</si>
  <si>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</si>
  <si>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</si>
  <si>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</si>
  <si>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</si>
  <si>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</si>
  <si>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</si>
  <si>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</si>
  <si>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</si>
  <si>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</si>
  <si>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</si>
  <si>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</si>
  <si>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</si>
  <si>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</si>
  <si>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</si>
  <si>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</si>
  <si>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</si>
  <si>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</si>
  <si>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</si>
  <si>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</si>
  <si>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</si>
  <si>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</si>
  <si>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</si>
  <si>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</si>
  <si>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</si>
  <si>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</si>
  <si>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</si>
  <si>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</si>
  <si>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</si>
  <si>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</si>
  <si>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</si>
  <si>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</si>
  <si>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</si>
  <si>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</si>
  <si>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</si>
  <si>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</si>
  <si>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</si>
  <si>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</si>
  <si>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</si>
  <si>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</si>
  <si>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</si>
  <si>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</si>
  <si>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</si>
  <si>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</si>
  <si>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</si>
  <si>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</si>
  <si>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</si>
  <si>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</si>
  <si>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</si>
  <si>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</si>
  <si>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</si>
  <si>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</si>
  <si>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</si>
  <si>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</si>
  <si>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</si>
  <si>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</si>
  <si>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</si>
  <si>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</si>
  <si>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</si>
  <si>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</si>
  <si>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</si>
  <si>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</si>
  <si>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</si>
  <si>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</si>
  <si>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</si>
  <si>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</si>
  <si>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</si>
  <si>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</si>
  <si>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</si>
  <si>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</si>
  <si>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</si>
  <si>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</si>
  <si>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</si>
  <si>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</si>
  <si>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</si>
  <si>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</si>
  <si>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</si>
  <si>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</si>
  <si>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</si>
  <si>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</si>
  <si>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</si>
  <si>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</si>
  <si>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</si>
  <si>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</si>
  <si>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</si>
  <si>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</si>
  <si>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</si>
  <si>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</si>
  <si>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</si>
  <si>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</si>
  <si>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</si>
  <si>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</si>
  <si>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</si>
  <si>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</si>
  <si>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</si>
  <si>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</si>
  <si>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</si>
  <si>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</si>
  <si>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</si>
  <si>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</si>
  <si>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</si>
  <si>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</si>
  <si>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</si>
  <si>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</si>
  <si>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</si>
  <si>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</si>
  <si>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</si>
  <si>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</si>
  <si>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</si>
  <si>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</si>
  <si>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</si>
  <si>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</si>
  <si>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</si>
  <si>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</si>
  <si>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</si>
  <si>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</si>
  <si>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</si>
  <si>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</si>
  <si>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</si>
  <si>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</si>
  <si>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</si>
  <si>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</si>
  <si>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</si>
  <si>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</si>
  <si>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</si>
  <si>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</si>
  <si>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</si>
  <si>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</si>
  <si>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</si>
  <si>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</si>
  <si>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</si>
  <si>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</si>
  <si>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</si>
  <si>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</si>
  <si>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</si>
  <si>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</si>
  <si>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</si>
  <si>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</si>
  <si>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</si>
  <si>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</si>
  <si>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</si>
  <si>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</si>
  <si>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</si>
  <si>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</si>
  <si>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</si>
  <si>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</si>
  <si>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</si>
  <si>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</si>
  <si>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</si>
  <si>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</si>
  <si>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</si>
  <si>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</si>
  <si>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</si>
  <si>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</si>
  <si>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</si>
  <si>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</si>
  <si>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</si>
  <si>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</si>
  <si>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</si>
  <si>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</si>
  <si>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</si>
  <si>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</si>
  <si>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</si>
  <si>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</si>
  <si>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</si>
  <si>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</si>
  <si>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</si>
  <si>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</si>
  <si>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</si>
  <si>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</si>
  <si>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</si>
  <si>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</si>
  <si>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</si>
  <si>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</si>
  <si>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</si>
  <si>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</si>
  <si>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</si>
  <si>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</si>
  <si>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</si>
  <si>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</si>
  <si>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</si>
  <si>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</si>
  <si>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</si>
  <si>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</si>
  <si>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</si>
  <si>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</si>
  <si>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</si>
  <si>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</si>
  <si>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</si>
  <si>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</si>
  <si>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</si>
  <si>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</si>
  <si>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</si>
  <si>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</si>
  <si>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</si>
  <si>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</si>
  <si>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</si>
  <si>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</si>
  <si>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</si>
  <si>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</si>
  <si>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</si>
  <si>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</si>
  <si>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</si>
  <si>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</si>
  <si>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</si>
  <si>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</si>
  <si>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</si>
  <si>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</si>
  <si>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</si>
  <si>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</si>
  <si>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</si>
  <si>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</si>
  <si>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</si>
  <si>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</si>
  <si>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</si>
  <si>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</si>
  <si>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</si>
  <si>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</si>
  <si>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</si>
  <si>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</si>
  <si>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</si>
  <si>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</si>
  <si>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</si>
  <si>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</si>
  <si>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</si>
  <si>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</si>
  <si>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</si>
  <si>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</si>
  <si>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</si>
  <si>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</si>
  <si>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</si>
  <si>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</si>
  <si>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</si>
  <si>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</si>
  <si>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</si>
  <si>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</si>
  <si>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</si>
  <si>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</si>
  <si>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</si>
  <si>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</si>
  <si>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</si>
  <si>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</si>
  <si>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</si>
  <si>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</si>
  <si>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</si>
  <si>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</si>
  <si>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</si>
  <si>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</si>
  <si>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</si>
  <si>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</si>
  <si>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</si>
  <si>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</si>
  <si>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</si>
  <si>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</si>
  <si>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</si>
  <si>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</si>
  <si>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</si>
  <si>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</si>
  <si>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</si>
  <si>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</si>
  <si>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</si>
  <si>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</si>
  <si>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</si>
  <si>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</si>
  <si>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</si>
  <si>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</si>
  <si>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</si>
  <si>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</si>
  <si>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</si>
  <si>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</si>
  <si>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</si>
  <si>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</si>
  <si>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</si>
  <si>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</si>
  <si>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</si>
  <si>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</si>
  <si>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</si>
  <si>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</si>
  <si>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</si>
  <si>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</si>
  <si>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</si>
  <si>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</si>
  <si>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</si>
  <si>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</si>
  <si>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</si>
  <si>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</si>
  <si>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</si>
  <si>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</si>
  <si>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</si>
  <si>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</si>
  <si>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</si>
  <si>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</si>
  <si>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</si>
  <si>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</si>
  <si>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</si>
  <si>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</si>
  <si>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</si>
  <si>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</si>
  <si>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</si>
  <si>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</si>
  <si>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</si>
  <si>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</si>
  <si>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</si>
  <si>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</si>
  <si>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</si>
  <si>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</si>
  <si>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</si>
  <si>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</si>
  <si>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</si>
  <si>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</si>
  <si>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</si>
  <si>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</si>
  <si>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</si>
  <si>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</si>
  <si>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</si>
  <si>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</si>
  <si>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</si>
  <si>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</si>
  <si>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</si>
  <si>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</si>
  <si>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</si>
  <si>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</si>
  <si>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</si>
  <si>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</si>
  <si>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</si>
  <si>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</si>
  <si>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</si>
  <si>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</si>
  <si>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</si>
  <si>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</si>
  <si>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</si>
  <si>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</si>
  <si>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</si>
  <si>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</si>
  <si>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</si>
  <si>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</si>
  <si>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</si>
  <si>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</si>
  <si>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</si>
  <si>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</si>
  <si>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</si>
  <si>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</si>
  <si>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</si>
  <si>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</si>
  <si>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</si>
  <si>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</si>
  <si>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</si>
  <si>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</si>
  <si>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</si>
  <si>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</si>
  <si>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</si>
  <si>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</si>
  <si>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</si>
  <si>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</si>
  <si>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</si>
  <si>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</si>
  <si>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</si>
  <si>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</si>
  <si>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</si>
  <si>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</si>
  <si>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</si>
  <si>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</si>
  <si>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</si>
  <si>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</si>
  <si>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</si>
  <si>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</si>
  <si>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</si>
  <si>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</si>
  <si>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</si>
  <si>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</si>
  <si>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</si>
  <si>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</si>
  <si>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</si>
  <si>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</si>
  <si>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</si>
  <si>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</si>
  <si>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</si>
  <si>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</si>
  <si>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</si>
  <si>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</si>
  <si>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</si>
  <si>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</si>
  <si>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</si>
  <si>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</si>
  <si>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</si>
  <si>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</si>
  <si>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</si>
  <si>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</si>
  <si>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</si>
  <si>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</si>
  <si>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</si>
  <si>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</si>
  <si>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</si>
  <si>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</si>
  <si>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</si>
  <si>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</si>
  <si>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</si>
  <si>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</si>
  <si>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</si>
  <si>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</si>
  <si>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</si>
  <si>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</si>
  <si>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</si>
  <si>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</si>
  <si>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</si>
  <si>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</si>
  <si>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</si>
  <si>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</si>
  <si>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</si>
  <si>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</si>
  <si>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</si>
  <si>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</si>
  <si>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</si>
  <si>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</si>
  <si>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</si>
  <si>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</si>
  <si>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</si>
  <si>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</si>
  <si>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</si>
  <si>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</si>
  <si>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</si>
  <si>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</si>
  <si>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</si>
  <si>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</si>
  <si>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</si>
  <si>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</si>
  <si>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</si>
  <si>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</si>
  <si>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</si>
  <si>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</si>
  <si>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</si>
  <si>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</si>
  <si>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</si>
  <si>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</si>
  <si>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</si>
  <si>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</si>
  <si>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</si>
  <si>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</si>
  <si>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</si>
  <si>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</si>
  <si>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</si>
  <si>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</si>
  <si>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</si>
  <si>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</si>
  <si>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</si>
  <si>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</si>
  <si>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</si>
  <si>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</si>
  <si>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</si>
  <si>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</si>
  <si>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</si>
  <si>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</si>
  <si>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</si>
  <si>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</si>
  <si>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</si>
  <si>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</si>
  <si>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</si>
  <si>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</si>
  <si>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</si>
  <si>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</si>
  <si>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</si>
  <si>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</si>
  <si>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</si>
  <si>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</si>
  <si>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</si>
  <si>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</si>
  <si>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</si>
  <si>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</si>
  <si>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</si>
  <si>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</si>
  <si>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>Equipe da escala se apresenta as 9:30h para carregamento</t>
  </si>
  <si>
    <t>TAG</t>
  </si>
  <si>
    <t>TAG2</t>
  </si>
  <si>
    <t xml:space="preserve">Trabalha em TAG2 </t>
  </si>
  <si>
    <t>Previsão de MC1 as 10:20h</t>
  </si>
  <si>
    <t>Efraim</t>
  </si>
  <si>
    <t>Carregamento em TCS</t>
  </si>
  <si>
    <t>Herbert</t>
  </si>
  <si>
    <t>Realizar duas soldas e trilho 12 metros</t>
  </si>
  <si>
    <t>Previsão de equipe pronta as 9h</t>
  </si>
  <si>
    <t>TMI</t>
  </si>
  <si>
    <t>TMITCS</t>
  </si>
  <si>
    <t>Ronda 7 dias</t>
  </si>
  <si>
    <t>MC1 as 08:14h</t>
  </si>
  <si>
    <t>MC1 as 05:54h/ licença as 05:57h/ em intervalo as 07:47h</t>
  </si>
  <si>
    <t>ZTO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</si>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</sst>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70" activePane="bottomRight" state="frozen"/>
      <selection pane="bottomRight" activeCell="L76" sqref="L7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161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/>
      <c r="BI61" s="16"/>
      <c r="BJ61" s="16" t="s">
        <v>1265</v>
      </c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1266</v>
      </c>
      <c r="W62" s="173" t="s">
        <v>1267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1268</v>
      </c>
      <c r="W63" s="173" t="s">
        <v>1269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/>
      <c r="BI63" s="16"/>
      <c r="BJ63" s="16" t="s">
        <v>1270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1271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1272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1268</v>
      </c>
      <c r="W64" s="173" t="s">
        <v>1273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/>
      <c r="BI64" s="16"/>
      <c r="BJ64" s="16" t="s">
        <v>1274</v>
      </c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/>
      <c r="BI65" s="16"/>
      <c r="BJ65" s="16" t="s">
        <v>1275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>V4246028</v>
      </c>
      <c r="B75" s="171">
        <v>46028</v>
      </c>
      <c r="C75" s="8">
        <f>IF(BS_CONTROLE[[#This Row],[DATA]]="","",WEEKNUM(BS_CONTROLE[[#This Row],[DATA]]))</f>
        <v>2</v>
      </c>
      <c r="D75" s="51" t="s">
        <v>180</v>
      </c>
      <c r="E75" s="320">
        <v>70</v>
      </c>
      <c r="F75" s="172" t="s">
        <v>143</v>
      </c>
      <c r="G75" s="9" t="str">
        <f>IF(D75="","*",VLOOKUP(F75,BS_ATIVIDADE[#All],3,FALSE))</f>
        <v>MODERNIZAÇÃO</v>
      </c>
      <c r="H75" s="173" t="s">
        <v>740</v>
      </c>
      <c r="I75" s="173" t="s">
        <v>740</v>
      </c>
      <c r="J75" s="217">
        <v>72</v>
      </c>
      <c r="K75" s="217">
        <v>286.39999999999998</v>
      </c>
      <c r="L75" s="83">
        <v>287.39999999999998</v>
      </c>
      <c r="M75" s="204" t="s">
        <v>734</v>
      </c>
      <c r="N75" s="204" t="s">
        <v>735</v>
      </c>
      <c r="O75" s="173">
        <v>0.29166666666666669</v>
      </c>
      <c r="P75" s="173">
        <v>8.3333333333333329E-2</v>
      </c>
      <c r="Q75" s="83">
        <v>400</v>
      </c>
      <c r="R75" s="10" t="str">
        <f>IFERROR(_xlfn.XLOOKUP(F75, BS_ATIVIDADE[ATIVIDADE],BS_ATIVIDADE[UNIDADE] ), "*")</f>
        <v>M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5" s="80" t="str">
        <f>IFERROR(_xlfn.XLOOKUP(J75, BASE_MAPA!$E$2:$E$359, BASE_MAPA!$J$2:$J$359), "ERRO")</f>
        <v>ARARAQUARA - COLOMBIA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MODERNIZAÇÃO - SOCADORA</v>
      </c>
      <c r="AJ75" s="9" t="str">
        <f>IF(D75="","*",VLOOKUP(AI75,BS_ATIVIDADE[#Data],3,FALSE))</f>
        <v>MODERNIZAÇÃO</v>
      </c>
      <c r="AK75" s="284" t="str">
        <f>IF(BS_CONTROLE[[#This Row],[Local - Partida]]=0, "-", BS_CONTROLE[[#This Row],[Local - Partida]])</f>
        <v>ZGT1</v>
      </c>
      <c r="AL75" s="284" t="str">
        <f>IF(BS_CONTROLE[[#This Row],[Local - Encerramento]]=0, "-", BS_CONTROLE[[#This Row],[Local - Encerramento]])</f>
        <v>ZGT1</v>
      </c>
      <c r="AM75" s="284" t="str">
        <f>IF(BS_CONTROLE[[#This Row],[Entre - Estações]]=0, "-", BS_CONTROLE[[#This Row],[Entre - Estações]])</f>
        <v>ZRI</v>
      </c>
      <c r="AN75" s="284" t="str">
        <f>IF(BS_CONTROLE[[#This Row],[SB]]=0, "-", BS_CONTROLE[[#This Row],[SB]])</f>
        <v>ZRI1</v>
      </c>
      <c r="AO75" s="285">
        <f>IF(BS_CONTROLE[[#This Row],[SUB]]=0, "-", BS_CONTROLE[[#This Row],[SUB]])</f>
        <v>72</v>
      </c>
      <c r="AP75" s="286">
        <f>IF(BS_CONTROLE[[#This Row],[KM - Inicio]]=0, "-", BS_CONTROLE[[#This Row],[KM - Inicio]])</f>
        <v>286.39999999999998</v>
      </c>
      <c r="AQ75" s="286">
        <f>IF(BS_CONTROLE[[#This Row],[KM - Fim]]=0, "-", BS_CONTROLE[[#This Row],[KM - Fim]])</f>
        <v>287.39999999999998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5" s="11" t="str">
        <f>IFERROR(_xlfn.XLOOKUP(AO75, BASE_MAPA!$E$2:$E$359, BASE_MAPA!$J$2:$J$359), "ERRO")</f>
        <v>ARARAQUARA - COLOMBIA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>E4046028</v>
      </c>
      <c r="B77" s="171">
        <v>46028</v>
      </c>
      <c r="C77" s="8">
        <f>IF(BS_CONTROLE[[#This Row],[DATA]]="","",WEEKNUM(BS_CONTROLE[[#This Row],[DATA]]))</f>
        <v>2</v>
      </c>
      <c r="D77" s="51" t="s">
        <v>154</v>
      </c>
      <c r="E77" s="320">
        <v>72</v>
      </c>
      <c r="F77" s="172" t="s">
        <v>25</v>
      </c>
      <c r="G77" s="9" t="str">
        <f>IF(D77="","*",VLOOKUP(F77,BS_ATIVIDADE[#All],3,FALSE))</f>
        <v>OUTROS</v>
      </c>
      <c r="H77" s="173" t="s">
        <v>864</v>
      </c>
      <c r="I77" s="173" t="s">
        <v>1276</v>
      </c>
      <c r="J77" s="217">
        <v>78</v>
      </c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>
        <v>0.41666666666666669</v>
      </c>
      <c r="P77" s="173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ITIRAPINA - BAURU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84" t="str">
        <f>IF(BS_CONTROLE[[#This Row],[Local - Partida]]=0, "-", BS_CONTROLE[[#This Row],[Local - Partida]])</f>
        <v>ZTP</v>
      </c>
      <c r="AL77" s="284" t="str">
        <f>IF(BS_CONTROLE[[#This Row],[Local - Encerramento]]=0, "-", BS_CONTROLE[[#This Row],[Local - Encerramento]])</f>
        <v>ZTO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>
        <f>IF(BS_CONTROLE[[#This Row],[SUB]]=0, "-", BS_CONTROLE[[#This Row],[SUB]])</f>
        <v>78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ITIRAPINA - BAURU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1277</v>
      </c>
      <c r="D5" s="350"/>
      <c r="E5" s="350"/>
      <c r="F5" s="350"/>
      <c r="G5" s="350"/>
      <c r="H5" s="350"/>
      <c r="I5" s="350"/>
      <c r="J5" s="351"/>
      <c r="K5" s="352" t="s">
        <v>1278</v>
      </c>
      <c r="L5" s="353"/>
      <c r="M5" s="353"/>
      <c r="N5" s="353"/>
      <c r="O5" s="354" t="s">
        <v>1279</v>
      </c>
      <c r="P5" s="355"/>
      <c r="Q5" s="356"/>
    </row>
    <row r="6" spans="1:17" s="93" customFormat="1" ht="15.75" customHeight="1">
      <c r="A6" s="87" t="s">
        <v>1280</v>
      </c>
      <c r="B6" s="94" t="s">
        <v>1281</v>
      </c>
      <c r="C6" s="95" t="s">
        <v>1163</v>
      </c>
      <c r="D6" s="96" t="s">
        <v>1164</v>
      </c>
      <c r="E6" s="95" t="s">
        <v>1282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1283</v>
      </c>
      <c r="M6" s="139" t="s">
        <v>30</v>
      </c>
      <c r="N6" s="140" t="s">
        <v>1158</v>
      </c>
      <c r="O6" s="246" t="s">
        <v>1201</v>
      </c>
      <c r="P6" s="157"/>
      <c r="Q6" s="193" t="s">
        <v>1284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46028</v>
      </c>
      <c r="B77" s="98" t="str">
        <f>IF(FN_MC!X75="","*",FN_MC!X75)</f>
        <v>*</v>
      </c>
      <c r="C77" s="99" t="str">
        <f>IF(FN_MC!S75="","*",FN_MC!S75)</f>
        <v>MALHA CENTRAL</v>
      </c>
      <c r="D77" s="99" t="str">
        <f>IF(FN_MC!T75="","*",FN_MC!T75)</f>
        <v>RAMAL</v>
      </c>
      <c r="E77" s="99" t="str">
        <f>IF(FN_MC!D75="","*",FN_MC!D75)</f>
        <v>V42</v>
      </c>
      <c r="F77" s="99" t="str">
        <f>IF(FN_MC!H75="","*",FN_MC!H75)</f>
        <v>ZGT1</v>
      </c>
      <c r="G77" s="99" t="str">
        <f>IF(FN_MC!M75="","*",FN_MC!M75)</f>
        <v>ZRI</v>
      </c>
      <c r="H77" s="154">
        <f>IF(FN_MC!K75="","*",FN_MC!K75)</f>
        <v>286.39999999999998</v>
      </c>
      <c r="I77" s="132">
        <f>IF(FN_MC!O75="","*",FN_MC!O75)</f>
        <v>0.29166666666666669</v>
      </c>
      <c r="J77" s="132">
        <f>IF(FN_MC!P75="","*",FN_MC!P75)</f>
        <v>8.3333333333333329E-2</v>
      </c>
      <c r="K77" s="141" t="str">
        <f>IF(FN_MC!AK75="","*",FN_MC!AK75)</f>
        <v>ZGT1</v>
      </c>
      <c r="L77" s="141" t="str">
        <f>IF(FN_MC!AM75="","*",FN_MC!AM75)</f>
        <v>ZRI</v>
      </c>
      <c r="M77" s="141">
        <f>IF(FN_MC!AP75="","*",FN_MC!AP75)</f>
        <v>286.39999999999998</v>
      </c>
      <c r="N77" s="141" t="str">
        <f>IF(FN_MC!AM75="","*",FN_MC!AM75)</f>
        <v>ZRI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46028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E40</v>
      </c>
      <c r="F79" s="99" t="str">
        <f>IF(FN_MC!H77="","*",FN_MC!H77)</f>
        <v>ZTP</v>
      </c>
      <c r="G79" s="99" t="str">
        <f>IF(FN_MC!M77="","*",FN_MC!M77)</f>
        <v>-</v>
      </c>
      <c r="H79" s="154" t="str">
        <f>IF(FN_MC!K77="","*",FN_MC!K77)</f>
        <v>*</v>
      </c>
      <c r="I79" s="132">
        <f>IF(FN_MC!O77="","*",FN_MC!O77)</f>
        <v>0.41666666666666669</v>
      </c>
      <c r="J79" s="132">
        <f>IF(FN_MC!P77="","*",FN_MC!P77)</f>
        <v>4.1666666666666664E-2</v>
      </c>
      <c r="K79" s="141" t="str">
        <f>IF(FN_MC!AK77="","*",FN_MC!AK77)</f>
        <v>ZTP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94"/>
      <c r="O1" s="294"/>
      <c r="P1" s="170"/>
      <c r="Q1" s="360" t="s">
        <v>1211</v>
      </c>
      <c r="R1" s="361"/>
      <c r="U1" s="102"/>
      <c r="V1" s="362" t="s">
        <v>1285</v>
      </c>
      <c r="W1" s="362"/>
      <c r="X1" s="362"/>
      <c r="Y1" s="104"/>
    </row>
    <row r="2" spans="1:25" s="100" customFormat="1" ht="11.25" customHeight="1">
      <c r="A2" s="105" t="s">
        <v>1286</v>
      </c>
      <c r="B2" s="105" t="s">
        <v>1281</v>
      </c>
      <c r="C2" s="105" t="s">
        <v>7</v>
      </c>
      <c r="D2" s="106" t="s">
        <v>1163</v>
      </c>
      <c r="E2" s="106" t="s">
        <v>1164</v>
      </c>
      <c r="F2" s="106" t="s">
        <v>1280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1287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MALHA CENTRAL</v>
      </c>
      <c r="E73" s="110" t="str">
        <f>IF(FN_MC!T75="","*",FN_MC!T75)</f>
        <v>RAMAL</v>
      </c>
      <c r="F73" s="110">
        <f>IF(FN_MC!B75="","*",FN_MC!B75)</f>
        <v>46028</v>
      </c>
      <c r="G73" s="110" t="str">
        <f>IF(FN_MC!D75="","*",FN_MC!D75)</f>
        <v>V42</v>
      </c>
      <c r="H73" s="110" t="str">
        <f>IF(FN_MC!F75="","*",FN_MC!F75)</f>
        <v>MODERNIZAÇÃO - SOCADORA</v>
      </c>
      <c r="I73" s="110" t="str">
        <f>IF(FN_MC!H75="","*",FN_MC!H75)</f>
        <v>ZGT1</v>
      </c>
      <c r="J73" s="110" t="str">
        <f>IF(FN_MC!I75="","*",FN_MC!I75)</f>
        <v>ZGT1</v>
      </c>
      <c r="K73" s="110" t="str">
        <f>IF(FN_MC!M75="","*",FN_MC!M75)</f>
        <v>ZRI</v>
      </c>
      <c r="L73" s="110" t="str">
        <f>IF(FN_MC!N75="","*",FN_MC!N75)</f>
        <v>ZRI1</v>
      </c>
      <c r="M73" s="111">
        <f>IF(FN_MC!J75="","*",FN_MC!J75)</f>
        <v>72</v>
      </c>
      <c r="N73" s="296">
        <f>IF(FN_MC!K75="","*",FN_MC!K75)</f>
        <v>286.39999999999998</v>
      </c>
      <c r="O73" s="296">
        <f>IF(FN_MC!L75="","*",FN_MC!L75)</f>
        <v>287.39999999999998</v>
      </c>
      <c r="P73" s="111"/>
      <c r="Q73" s="128">
        <f>IF(FN_MC!O75="","*",FN_MC!O75)</f>
        <v>0.29166666666666669</v>
      </c>
      <c r="R73" s="128">
        <f>IF(FN_MC!P75="","*",FN_MC!P75)</f>
        <v>8.3333333333333329E-2</v>
      </c>
      <c r="S73" s="110" t="str">
        <f>IF(FN_MC!Q75="","*",CONCATENATE(FN_MC!Q75," ",FN_MC!R75))</f>
        <v>400 M</v>
      </c>
      <c r="T73" s="110" t="str">
        <f>IF(FN_MC!V75="","*",FN_MC!V75)</f>
        <v>*</v>
      </c>
      <c r="U73" s="110" t="str">
        <f>IF(FN_MC!W75="","*",FN_MC!W75)</f>
        <v>*</v>
      </c>
      <c r="V73" s="112">
        <f ca="1">_xlfn.XLOOKUP(G73&amp;$V$2,BS_CONTROLE[CHAVE],BS_CONTROLE[Quantidade_11],"-")</f>
        <v>410</v>
      </c>
      <c r="W73" s="112">
        <f ca="1">_xlfn.XLOOKUP(G73&amp;$W$2,BS_CONTROLE[CHAVE],BS_CONTROLE[Quantidade_11],"-")</f>
        <v>770</v>
      </c>
      <c r="X73" s="112">
        <f ca="1">_xlfn.XLOOKUP(G73&amp;$X$2,BS_CONTROLE[CHAVE],BS_CONTROLE[Quantidade_11],"-")</f>
        <v>220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>
        <f>IF(FN_MC!B77="","*",FN_MC!B77)</f>
        <v>46028</v>
      </c>
      <c r="G75" s="110" t="str">
        <f>IF(FN_MC!D77="","*",FN_MC!D77)</f>
        <v>E40</v>
      </c>
      <c r="H75" s="110" t="str">
        <f>IF(FN_MC!F77="","*",FN_MC!F77)</f>
        <v>DESLOCAMENTO</v>
      </c>
      <c r="I75" s="110" t="str">
        <f>IF(FN_MC!H77="","*",FN_MC!H77)</f>
        <v>ZTP</v>
      </c>
      <c r="J75" s="110" t="str">
        <f>IF(FN_MC!I77="","*",FN_MC!I77)</f>
        <v>ZTO</v>
      </c>
      <c r="K75" s="110" t="str">
        <f>IF(FN_MC!M77="","*",FN_MC!M77)</f>
        <v>-</v>
      </c>
      <c r="L75" s="110" t="str">
        <f>IF(FN_MC!N77="","*",FN_MC!N77)</f>
        <v>-</v>
      </c>
      <c r="M75" s="111">
        <f>IF(FN_MC!J77="","*",FN_MC!J77)</f>
        <v>78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>
        <f>IF(FN_MC!O77="","*",FN_MC!O77)</f>
        <v>0.41666666666666669</v>
      </c>
      <c r="R75" s="128">
        <f>IF(FN_MC!P77="","*",FN_MC!P77)</f>
        <v>4.1666666666666664E-2</v>
      </c>
      <c r="S75" s="110" t="str">
        <f>IF(FN_MC!Q77="","*",CONCATENATE(FN_MC!Q77," ",FN_MC!R77))</f>
        <v>1 BINÁRIO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1288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58" sqref="B58:K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1289</v>
      </c>
      <c r="C2" s="95" t="s">
        <v>1148</v>
      </c>
      <c r="D2" s="95" t="s">
        <v>1150</v>
      </c>
      <c r="E2" s="95" t="s">
        <v>1290</v>
      </c>
      <c r="F2" s="95" t="s">
        <v>1291</v>
      </c>
      <c r="G2" s="95" t="s">
        <v>1292</v>
      </c>
      <c r="H2" s="95" t="s">
        <v>1293</v>
      </c>
      <c r="I2" s="95" t="s">
        <v>1294</v>
      </c>
      <c r="J2" s="95" t="s">
        <v>1295</v>
      </c>
      <c r="K2" s="131" t="s">
        <v>1296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>
        <f>IF(FN_MC!B75="","*",FN_MC!B75)</f>
        <v>46028</v>
      </c>
      <c r="D73" s="121" t="str">
        <f>IF(FN_MC!D75="","*",FN_MC!D75)</f>
        <v>V42</v>
      </c>
      <c r="E73" s="121" t="str">
        <f>IF(FN_MC!H75="","*",FN_MC!H75)</f>
        <v>ZGT1</v>
      </c>
      <c r="F73" s="137" t="str">
        <f>IF(FN_MC!M75="","*",FN_MC!M75)</f>
        <v>ZRI</v>
      </c>
      <c r="G73" s="121" t="str">
        <f>IF(FN_MC!I75="","*",FN_MC!I75)</f>
        <v>ZGT1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>
        <f>IF(FN_MC!B77="","*",FN_MC!B77)</f>
        <v>46028</v>
      </c>
      <c r="D75" s="121" t="str">
        <f>IF(FN_MC!D77="","*",FN_MC!D77)</f>
        <v>E40</v>
      </c>
      <c r="E75" s="121" t="str">
        <f>IF(FN_MC!H77="","*",FN_MC!H77)</f>
        <v>ZTP</v>
      </c>
      <c r="F75" s="137" t="str">
        <f>IF(FN_MC!M77="","*",FN_MC!M77)</f>
        <v>-</v>
      </c>
      <c r="G75" s="121" t="str">
        <f>IF(FN_MC!I77="","*",FN_MC!I77)</f>
        <v>ZTO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2026-01-05T11:54:24Z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