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07" documentId="8_{B6337239-1A00-434D-AAD0-422EA1FEB5AE}" xr6:coauthVersionLast="47" xr6:coauthVersionMax="47" xr10:uidLastSave="{CF912E82-2074-4783-8F1D-6EDFD2329CF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/>
  <c r="L103" i="12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/>
  <c r="L109" i="12" s="1"/>
  <c r="M112" i="1" a="1"/>
  <c r="M112" i="1" s="1"/>
  <c r="AM112" i="1" s="1"/>
  <c r="N112" i="1" a="1"/>
  <c r="N112" i="1" s="1"/>
  <c r="H113" i="1" a="1"/>
  <c r="H113" i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/>
  <c r="N118" i="1" a="1"/>
  <c r="N118" i="1" s="1"/>
  <c r="M119" i="1" a="1"/>
  <c r="M119" i="1" s="1"/>
  <c r="AM119" i="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2" i="12" s="1"/>
  <c r="R383" i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3" i="1" l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<sst xmlns="http://schemas.openxmlformats.org/spreadsheetml/2006/main" count="9808" uniqueCount="2001">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</sst>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82" activePane="bottomRight" state="frozen"/>
      <selection pane="bottomRight" activeCell="M383" sqref="M3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1931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1932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1933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1934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1935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1936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1937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/>
      <c r="BI366" s="16"/>
      <c r="BJ366" s="16" t="s">
        <v>1938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1939</v>
      </c>
      <c r="N367" s="202" t="s">
        <v>1940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1941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1942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1943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1944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1945</v>
      </c>
      <c r="N370" s="202" t="s">
        <v>1946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1947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1948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1949</v>
      </c>
      <c r="I371" s="173" t="s">
        <v>1950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1951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1952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>W50</v>
      </c>
      <c r="B383" s="171"/>
      <c r="C383" s="8" t="str">
        <f>IF(BS_CONTROLE[[#This Row],[DATA]]="","",WEEKNUM(BS_CONTROLE[[#This Row],[DATA]]))</f>
        <v/>
      </c>
      <c r="D383" s="51" t="s">
        <v>836</v>
      </c>
      <c r="E383" s="310">
        <v>364</v>
      </c>
      <c r="F383" s="172" t="s">
        <v>772</v>
      </c>
      <c r="G383" s="9" t="str">
        <f>IF(D383="","*",VLOOKUP(F383,BS_ATIVIDADE[#All],3,FALSE))</f>
        <v>DORMENTE - DESCARGA</v>
      </c>
      <c r="H383" s="173" t="s">
        <v>570</v>
      </c>
      <c r="I383" s="173" t="s">
        <v>570</v>
      </c>
      <c r="J383" s="215">
        <v>74</v>
      </c>
      <c r="K383" s="215">
        <v>453</v>
      </c>
      <c r="L383" s="83">
        <v>475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83" s="173"/>
      <c r="P383" s="173"/>
      <c r="Q383" s="83"/>
      <c r="R383" s="10" t="str">
        <f>IFERROR(_xlfn.XLOOKUP(F383, BS_ATIVIDADE[ATIVIDADE],BS_ATIVIDADE[UNIDADE] ), "*")</f>
        <v>Nº DE DORMENTES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3" s="80" t="str">
        <f>IFERROR(_xlfn.XLOOKUP(J383, BASE_MAPA!$D$2:$D$359, BASE_MAPA!$I$2:$I$359), "ERRO")</f>
        <v>MARCO INICIAL - ALTO ARAGUAIA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PDM - DESCARGA - DORMENTE</v>
      </c>
      <c r="AJ383" s="9" t="str">
        <f>IF(D383="","*",VLOOKUP(AI383,BS_ATIVIDADE[#Data],3,FALSE))</f>
        <v>DORMENTE - DESCARGA</v>
      </c>
      <c r="AK383" s="276" t="str">
        <f>IF(BS_CONTROLE[[#This Row],[Local - Partida]]=0, "-", BS_CONTROLE[[#This Row],[Local - Partida]])</f>
        <v>TOM2</v>
      </c>
      <c r="AL383" s="276" t="str">
        <f>IF(BS_CONTROLE[[#This Row],[Local - Encerramento]]=0, "-", BS_CONTROLE[[#This Row],[Local - Encerramento]])</f>
        <v>TOM2</v>
      </c>
      <c r="AM383" s="276" t="str">
        <f>IF(BS_CONTROLE[[#This Row],[Entre - Estações]]=0, "-", BS_CONTROLE[[#This Row],[Entre - Estações]])</f>
        <v>TVL</v>
      </c>
      <c r="AN383" s="276" t="str">
        <f>IF(BS_CONTROLE[[#This Row],[SB]]=0, "-", BS_CONTROLE[[#This Row],[SB]])</f>
        <v>TVL1</v>
      </c>
      <c r="AO383" s="277">
        <f>IF(BS_CONTROLE[[#This Row],[SUB]]=0, "-", BS_CONTROLE[[#This Row],[SUB]])</f>
        <v>74</v>
      </c>
      <c r="AP383" s="278">
        <f>IF(BS_CONTROLE[[#This Row],[KM - Inicio]]=0, "-", BS_CONTROLE[[#This Row],[KM - Inicio]])</f>
        <v>453</v>
      </c>
      <c r="AQ383" s="278">
        <f>IF(BS_CONTROLE[[#This Row],[KM - Fim]]=0, "-", BS_CONTROLE[[#This Row],[KM - Fim]])</f>
        <v>475</v>
      </c>
      <c r="AR383" s="240"/>
      <c r="AS383" s="240"/>
      <c r="AT383" s="240"/>
      <c r="AU383" s="38"/>
      <c r="AV383" s="38"/>
      <c r="AW383" s="38"/>
      <c r="AX383" s="38"/>
      <c r="AY383" s="309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DORMENTES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3" s="11" t="str">
        <f>IFERROR(_xlfn.XLOOKUP(AO383, BASE_MAPA!$D$2:$D$359, BASE_MAPA!$I$2:$I$359), "ERRO")</f>
        <v>MARCO INICIAL - ALTO ARAGUAIA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1953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1954</v>
      </c>
      <c r="D5" s="388"/>
      <c r="E5" s="388"/>
      <c r="F5" s="388"/>
      <c r="G5" s="388"/>
      <c r="H5" s="388"/>
      <c r="I5" s="388"/>
      <c r="J5" s="389"/>
      <c r="K5" s="390" t="s">
        <v>1955</v>
      </c>
      <c r="L5" s="391"/>
      <c r="M5" s="391"/>
      <c r="N5" s="391"/>
      <c r="O5" s="392" t="s">
        <v>1956</v>
      </c>
      <c r="P5" s="393"/>
      <c r="Q5" s="394"/>
    </row>
    <row r="6" spans="1:17" s="93" customFormat="1" ht="15.75" customHeight="1">
      <c r="A6" s="87" t="s">
        <v>1957</v>
      </c>
      <c r="B6" s="94" t="s">
        <v>1958</v>
      </c>
      <c r="C6" s="95" t="s">
        <v>1172</v>
      </c>
      <c r="D6" s="96" t="s">
        <v>1173</v>
      </c>
      <c r="E6" s="95" t="s">
        <v>1959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1960</v>
      </c>
      <c r="M6" s="139" t="s">
        <v>627</v>
      </c>
      <c r="N6" s="140" t="s">
        <v>1167</v>
      </c>
      <c r="O6" s="244" t="s">
        <v>1210</v>
      </c>
      <c r="P6" s="157"/>
      <c r="Q6" s="192" t="s">
        <v>1961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1962</v>
      </c>
      <c r="W1" s="400"/>
      <c r="X1" s="400"/>
      <c r="Y1" s="104"/>
    </row>
    <row r="2" spans="1:25" s="100" customFormat="1" ht="11.25" customHeight="1">
      <c r="A2" s="105" t="s">
        <v>1963</v>
      </c>
      <c r="B2" s="105" t="s">
        <v>1958</v>
      </c>
      <c r="C2" s="105" t="s">
        <v>603</v>
      </c>
      <c r="D2" s="106" t="s">
        <v>1172</v>
      </c>
      <c r="E2" s="106" t="s">
        <v>1173</v>
      </c>
      <c r="F2" s="106" t="s">
        <v>1957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1964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FERRONORTE</v>
      </c>
      <c r="E382" s="110" t="str">
        <f>IF(FN_MC!T383="","*",FN_MC!T383)</f>
        <v>TCS-TGR</v>
      </c>
      <c r="F382" s="110" t="str">
        <f>IF(FN_MC!B383="","*",FN_MC!B383)</f>
        <v>*</v>
      </c>
      <c r="G382" s="110" t="str">
        <f>IF(FN_MC!D383="","*",FN_MC!D383)</f>
        <v>W50</v>
      </c>
      <c r="H382" s="110" t="str">
        <f>IF(FN_MC!F383="","*",FN_MC!F383)</f>
        <v>PDM - DESCARGA - DORMENTE</v>
      </c>
      <c r="I382" s="110" t="str">
        <f>IF(FN_MC!H383="","*",FN_MC!H383)</f>
        <v>TOM2</v>
      </c>
      <c r="J382" s="110" t="str">
        <f>IF(FN_MC!I383="","*",FN_MC!I383)</f>
        <v>TOM2</v>
      </c>
      <c r="K382" s="110" t="str">
        <f>IF(FN_MC!M383="","*",FN_MC!M383)</f>
        <v>TVL</v>
      </c>
      <c r="L382" s="110" t="str">
        <f>IF(FN_MC!N383="","*",FN_MC!N383)</f>
        <v>TVL1</v>
      </c>
      <c r="M382" s="111">
        <f>IF(FN_MC!J383="","*",FN_MC!J383)</f>
        <v>74</v>
      </c>
      <c r="N382" s="288">
        <f>IF(FN_MC!K383="","*",FN_MC!K383)</f>
        <v>453</v>
      </c>
      <c r="O382" s="288">
        <f>IF(FN_MC!L383="","*",FN_MC!L383)</f>
        <v>475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-</v>
      </c>
      <c r="L383" s="110" t="str">
        <f>IF(FN_MC!N384="","*",FN_MC!N384)</f>
        <v>-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1965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1967</v>
      </c>
      <c r="C4" s="318" t="s">
        <v>1968</v>
      </c>
      <c r="D4" s="318" t="s">
        <v>1969</v>
      </c>
      <c r="E4" s="318" t="s">
        <v>1970</v>
      </c>
      <c r="F4" s="318" t="s">
        <v>6</v>
      </c>
      <c r="G4" s="318" t="s">
        <v>1971</v>
      </c>
      <c r="H4" s="191"/>
    </row>
    <row r="5" spans="1:8">
      <c r="A5" s="191"/>
      <c r="B5" s="319" t="s">
        <v>1972</v>
      </c>
      <c r="C5" s="319">
        <v>309525</v>
      </c>
      <c r="D5" s="319" t="s">
        <v>1973</v>
      </c>
      <c r="E5" s="319" t="s">
        <v>845</v>
      </c>
      <c r="F5" s="319" t="s">
        <v>1974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1975</v>
      </c>
      <c r="E6" s="319" t="s">
        <v>845</v>
      </c>
      <c r="F6" s="319" t="s">
        <v>1974</v>
      </c>
      <c r="G6" s="320">
        <v>46296</v>
      </c>
      <c r="H6" s="191"/>
    </row>
    <row r="7" spans="1:8">
      <c r="A7" s="191"/>
      <c r="B7" s="319" t="s">
        <v>1976</v>
      </c>
      <c r="C7" s="319">
        <v>257278</v>
      </c>
      <c r="D7" s="319" t="s">
        <v>1977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1978</v>
      </c>
      <c r="C8" s="319">
        <v>261794</v>
      </c>
      <c r="D8" s="319" t="s">
        <v>1979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1980</v>
      </c>
      <c r="C9" s="319">
        <v>257033</v>
      </c>
      <c r="D9" s="319" t="s">
        <v>1981</v>
      </c>
      <c r="E9" s="319" t="s">
        <v>836</v>
      </c>
      <c r="F9" s="319" t="s">
        <v>192</v>
      </c>
      <c r="G9" s="319" t="s">
        <v>1982</v>
      </c>
      <c r="H9" s="191"/>
    </row>
    <row r="10" spans="1:8">
      <c r="A10" s="191"/>
      <c r="B10" s="319" t="s">
        <v>1983</v>
      </c>
      <c r="C10" s="319">
        <v>396578</v>
      </c>
      <c r="D10" s="319" t="s">
        <v>1984</v>
      </c>
      <c r="E10" s="319" t="s">
        <v>836</v>
      </c>
      <c r="F10" s="319" t="s">
        <v>192</v>
      </c>
      <c r="G10" s="319" t="s">
        <v>1982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1986</v>
      </c>
      <c r="E3" s="315" t="s">
        <v>1987</v>
      </c>
      <c r="F3" s="315" t="s">
        <v>1988</v>
      </c>
      <c r="G3" s="315" t="s">
        <v>1989</v>
      </c>
      <c r="H3" s="315" t="s">
        <v>1990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1993</v>
      </c>
      <c r="C2" s="95" t="s">
        <v>1158</v>
      </c>
      <c r="D2" s="95" t="s">
        <v>596</v>
      </c>
      <c r="E2" s="95" t="s">
        <v>1994</v>
      </c>
      <c r="F2" s="95" t="s">
        <v>1995</v>
      </c>
      <c r="G2" s="95" t="s">
        <v>1996</v>
      </c>
      <c r="H2" s="95" t="s">
        <v>1997</v>
      </c>
      <c r="I2" s="95" t="s">
        <v>1998</v>
      </c>
      <c r="J2" s="95" t="s">
        <v>1999</v>
      </c>
      <c r="K2" s="131" t="s">
        <v>2000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W50</v>
      </c>
      <c r="E382" s="121" t="str">
        <f>IF(FN_MC!H383="","*",FN_MC!H383)</f>
        <v>TOM2</v>
      </c>
      <c r="F382" s="137" t="str">
        <f>IF(FN_MC!M383="","*",FN_MC!M383)</f>
        <v>TVL</v>
      </c>
      <c r="G382" s="121" t="str">
        <f>IF(FN_MC!I383="","*",FN_MC!I383)</f>
        <v>TOM2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2025-12-30T13:48:10Z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