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325" documentId="8_{B6337239-1A00-434D-AAD0-422EA1FEB5AE}" xr6:coauthVersionLast="47" xr6:coauthVersionMax="47" xr10:uidLastSave="{F4CA59FB-AE1A-43C4-A2A1-7FEB1D0C4908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S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57" i="1" a="1"/>
  <c r="N357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R344" i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0" i="1" a="1"/>
  <c r="M350" i="1"/>
  <c r="K347" i="12" s="1"/>
  <c r="N350" i="1" a="1"/>
  <c r="N350" i="1"/>
  <c r="L347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0" i="1" a="1"/>
  <c r="M360" i="1"/>
  <c r="K357" i="12" s="1"/>
  <c r="N360" i="1" a="1"/>
  <c r="N360" i="1"/>
  <c r="L357" i="12" s="1"/>
  <c r="M362" i="1" a="1"/>
  <c r="M362" i="1"/>
  <c r="K359" i="12" s="1"/>
  <c r="N362" i="1" a="1"/>
  <c r="N362" i="1"/>
  <c r="L359" i="12" s="1"/>
  <c r="M363" i="1" a="1"/>
  <c r="M363" i="1"/>
  <c r="K360" i="12" s="1"/>
  <c r="N363" i="1" a="1"/>
  <c r="N363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6" i="1" a="1"/>
  <c r="M376" i="1"/>
  <c r="K373" i="12" s="1"/>
  <c r="N376" i="1" a="1"/>
  <c r="N376" i="1"/>
  <c r="L373" i="12" s="1"/>
  <c r="M377" i="1" a="1"/>
  <c r="M377" i="1"/>
  <c r="K374" i="12" s="1"/>
  <c r="N377" i="1" a="1"/>
  <c r="N377" i="1"/>
  <c r="L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0" i="1" a="1"/>
  <c r="M380" i="1"/>
  <c r="K377" i="12" s="1"/>
  <c r="N380" i="1" a="1"/>
  <c r="N380" i="1"/>
  <c r="L377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3" i="1" a="1"/>
  <c r="M383" i="1"/>
  <c r="K380" i="12" s="1"/>
  <c r="N383" i="1" a="1"/>
  <c r="N383" i="1"/>
  <c r="L380" i="12" s="1"/>
  <c r="M384" i="1" a="1"/>
  <c r="M384" i="1"/>
  <c r="K381" i="12" s="1"/>
  <c r="N384" i="1" a="1"/>
  <c r="N384" i="1"/>
  <c r="L381" i="12" s="1"/>
  <c r="M385" i="1" a="1"/>
  <c r="M385" i="1"/>
  <c r="K382" i="12" s="1"/>
  <c r="N385" i="1" a="1"/>
  <c r="N385" i="1"/>
  <c r="L382" i="12" s="1"/>
  <c r="M386" i="1" a="1"/>
  <c r="M386" i="1"/>
  <c r="K383" i="12" s="1"/>
  <c r="N386" i="1" a="1"/>
  <c r="N386" i="1"/>
  <c r="L383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89" i="1" a="1"/>
  <c r="M389" i="1"/>
  <c r="K386" i="12" s="1"/>
  <c r="N389" i="1" a="1"/>
  <c r="N389" i="1"/>
  <c r="L386" i="12" s="1"/>
  <c r="M390" i="1" a="1"/>
  <c r="M390" i="1"/>
  <c r="K387" i="12" s="1"/>
  <c r="N390" i="1" a="1"/>
  <c r="N390" i="1"/>
  <c r="L387" i="12" s="1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K214" i="11"/>
  <c r="M214" i="11"/>
  <c r="K215" i="11"/>
  <c r="M215" i="11"/>
  <c r="K216" i="11"/>
  <c r="M216" i="11"/>
  <c r="M217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13" i="1" l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<sst xmlns="http://schemas.openxmlformats.org/spreadsheetml/2006/main" count="7118" uniqueCount="1814">
  <si>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</si>
  <si>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</si>
  <si>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</si>
  <si>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</si>
  <si>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</si>
  <si>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</si>
  <si>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</si>
  <si>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</si>
  <si>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</si>
  <si>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</si>
  <si>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</si>
  <si>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</si>
  <si>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</si>
  <si>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</si>
  <si>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</si>
  <si>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</si>
  <si>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</si>
  <si>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</si>
  <si>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</si>
  <si>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</si>
  <si>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</si>
  <si>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</si>
  <si>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</si>
  <si>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</si>
  <si>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</si>
  <si>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</si>
  <si>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</si>
  <si>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</si>
  <si>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</si>
  <si>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</si>
  <si>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</si>
  <si>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</si>
  <si>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</si>
  <si>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</si>
  <si>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</si>
  <si>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</si>
  <si>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</si>
  <si>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</si>
  <si>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</si>
  <si>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</si>
  <si>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</si>
  <si>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</si>
  <si>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</si>
  <si>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</si>
  <si>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</si>
  <si>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</si>
  <si>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</si>
  <si>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</si>
  <si>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</si>
  <si>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</si>
  <si>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</si>
  <si>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</si>
  <si>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</si>
  <si>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</si>
  <si>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</si>
  <si>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</si>
  <si>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</si>
  <si>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</si>
  <si>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</si>
  <si>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</si>
  <si>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</si>
  <si>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</si>
  <si>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</si>
  <si>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</si>
  <si>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</si>
  <si>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</si>
  <si>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</si>
  <si>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</si>
  <si>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</si>
  <si>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</si>
  <si>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</si>
  <si>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</si>
  <si>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</si>
  <si>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</si>
  <si>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</si>
  <si>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</si>
  <si>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</si>
  <si>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</si>
  <si>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</si>
  <si>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</si>
  <si>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</si>
  <si>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</si>
  <si>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</si>
  <si>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</si>
  <si>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</si>
  <si>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</si>
  <si>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</si>
  <si>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</si>
  <si>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</si>
  <si>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</si>
  <si>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</si>
  <si>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</si>
  <si>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</si>
  <si>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</si>
  <si>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</si>
  <si>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</si>
  <si>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</si>
  <si>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</si>
  <si>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</si>
  <si>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</si>
  <si>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</si>
  <si>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</si>
  <si>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</si>
  <si>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</si>
  <si>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</si>
  <si>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</si>
  <si>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</si>
  <si>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</si>
  <si>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</si>
  <si>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</si>
  <si>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</si>
  <si>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</si>
  <si>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</si>
  <si>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</si>
  <si>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</si>
  <si>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</si>
  <si>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</si>
  <si>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</si>
  <si>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</si>
  <si>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</si>
  <si>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</si>
  <si>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</si>
  <si>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</si>
  <si>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</si>
  <si>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</si>
  <si>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</si>
  <si>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</si>
  <si>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</si>
  <si>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</si>
  <si>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</si>
  <si>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</si>
  <si>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</si>
  <si>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</si>
  <si>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</si>
  <si>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</si>
  <si>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</si>
  <si>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</si>
  <si>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</si>
  <si>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</si>
  <si>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</si>
  <si>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</si>
  <si>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</si>
  <si>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</si>
  <si>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</si>
  <si>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</si>
  <si>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</si>
  <si>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</si>
  <si>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</si>
  <si>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</si>
  <si>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</si>
  <si>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</si>
  <si>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</si>
  <si>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</si>
  <si>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</si>
  <si>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</si>
  <si>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</si>
  <si>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</si>
  <si>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</si>
  <si>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</si>
  <si>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</si>
  <si>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</si>
  <si>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</si>
  <si>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</si>
  <si>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</si>
  <si>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</si>
  <si>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</si>
  <si>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</si>
  <si>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</si>
  <si>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</si>
  <si>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</si>
  <si>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</si>
  <si>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</si>
  <si>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</si>
  <si>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</si>
  <si>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</si>
  <si>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</si>
  <si>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</si>
  <si>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</si>
  <si>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</si>
  <si>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</si>
  <si>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</si>
  <si>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</si>
  <si>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</si>
  <si>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</si>
  <si>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</si>
  <si>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</si>
  <si>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</si>
  <si>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</si>
  <si>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</si>
  <si>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</si>
  <si>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</si>
  <si>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</si>
  <si>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</si>
  <si>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</si>
  <si>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</si>
  <si>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</si>
  <si>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</si>
  <si>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</si>
  <si>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</si>
  <si>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</si>
  <si>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</si>
  <si>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</si>
  <si>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</si>
  <si>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</si>
  <si>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</si>
  <si>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</si>
  <si>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</si>
  <si>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</si>
  <si>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</si>
  <si>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</si>
  <si>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</si>
  <si>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</si>
  <si>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</si>
  <si>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</si>
  <si>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</si>
  <si>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</si>
  <si>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</si>
  <si>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</si>
  <si>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</si>
  <si>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</si>
  <si>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</si>
  <si>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</si>
  <si>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</si>
  <si>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</si>
  <si>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</si>
  <si>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</si>
  <si>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</si>
  <si>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</si>
  <si>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</si>
  <si>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</si>
  <si>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</si>
  <si>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</si>
  <si>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</si>
  <si>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</si>
  <si>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</si>
  <si>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</si>
  <si>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</si>
  <si>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</si>
  <si>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</si>
  <si>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</si>
  <si>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</si>
  <si>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</si>
  <si>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</si>
  <si>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</si>
  <si>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</si>
  <si>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</si>
  <si>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</si>
  <si>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</si>
  <si>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</si>
  <si>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</si>
  <si>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</si>
  <si>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</si>
  <si>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</si>
  <si>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</si>
  <si>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</si>
  <si>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</si>
  <si>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</si>
  <si>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</si>
  <si>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</si>
  <si>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</si>
  <si>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</si>
  <si>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</si>
  <si>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</si>
  <si>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</si>
  <si>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</si>
  <si>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</si>
  <si>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</si>
  <si>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</si>
  <si>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</si>
  <si>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</si>
  <si>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</si>
  <si>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</si>
  <si>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</si>
  <si>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</si>
  <si>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</si>
  <si>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</si>
  <si>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</si>
  <si>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</si>
  <si>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</si>
  <si>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</si>
  <si>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</si>
  <si>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</si>
  <si>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</si>
  <si>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</si>
  <si>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</si>
  <si>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</si>
  <si>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</si>
  <si>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</si>
  <si>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</si>
  <si>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</si>
  <si>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</si>
  <si>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</si>
  <si>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</si>
  <si>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</si>
  <si>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</si>
  <si>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</si>
  <si>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</si>
  <si>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</si>
  <si>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</si>
  <si>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</si>
  <si>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</si>
  <si>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</si>
  <si>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</si>
  <si>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</si>
  <si>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</si>
  <si>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</si>
  <si>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</si>
  <si>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</si>
  <si>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</si>
  <si>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</si>
  <si>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</si>
  <si>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</si>
  <si>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</si>
  <si>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</si>
  <si>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</si>
  <si>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</si>
  <si>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</si>
  <si>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</si>
  <si>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</si>
  <si>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</si>
  <si>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</si>
  <si>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</si>
  <si>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</si>
  <si>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</si>
  <si>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</si>
  <si>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</si>
  <si>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</si>
  <si>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</si>
  <si>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</si>
  <si>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</si>
  <si>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</si>
  <si>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</si>
  <si>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</si>
  <si>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</si>
  <si>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</si>
  <si>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</si>
  <si>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</si>
  <si>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</si>
  <si>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</si>
  <si>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</si>
  <si>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</si>
  <si>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</si>
  <si>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</si>
  <si>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</si>
  <si>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</si>
  <si>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</si>
  <si>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</si>
  <si>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</si>
  <si>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</si>
  <si>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</si>
  <si>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</si>
  <si>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</si>
  <si>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</si>
  <si>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</si>
  <si>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</si>
  <si>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</si>
  <si>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</si>
  <si>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</si>
  <si>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</si>
  <si>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</si>
  <si>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</si>
  <si>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</si>
  <si>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</si>
  <si>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</si>
  <si>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</si>
  <si>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</si>
  <si>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</si>
  <si>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</si>
  <si>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</si>
  <si>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</si>
  <si>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</si>
  <si>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</si>
  <si>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</si>
  <si>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</si>
  <si>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</si>
  <si>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</si>
  <si>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</si>
  <si>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</si>
  <si>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</si>
  <si>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</si>
  <si>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</si>
  <si>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</si>
  <si>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</si>
  <si>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</si>
  <si>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</si>
  <si>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</si>
  <si>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</si>
  <si>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</si>
  <si>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</si>
  <si>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</si>
  <si>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</si>
  <si>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</si>
  <si>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</si>
  <si>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</si>
  <si>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</si>
  <si>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</si>
  <si>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</si>
  <si>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</si>
  <si>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</si>
  <si>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</si>
  <si>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</si>
  <si>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</si>
  <si>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</si>
  <si>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</si>
  <si>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</si>
  <si>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</si>
  <si>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</si>
  <si>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</si>
  <si>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</si>
  <si>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</si>
  <si>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</si>
  <si>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</si>
  <si>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</si>
  <si>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</si>
  <si>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</si>
  <si>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</si>
  <si>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</si>
  <si>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</si>
  <si>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</si>
  <si>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</si>
  <si>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</si>
  <si>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</si>
  <si>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</si>
  <si>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</si>
  <si>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</si>
  <si>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</si>
  <si>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</si>
  <si>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</si>
  <si>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</si>
  <si>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</si>
  <si>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</si>
  <si>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</si>
  <si>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</si>
  <si>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</si>
  <si>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</si>
  <si>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</si>
  <si>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</si>
  <si>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</si>
  <si>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</si>
  <si>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</si>
  <si>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</si>
  <si>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</si>
  <si>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</si>
  <si>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</si>
  <si>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</si>
  <si>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</si>
  <si>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</si>
  <si>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</si>
  <si>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</si>
  <si>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</si>
  <si>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</si>
  <si>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</si>
  <si>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</si>
  <si>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</si>
  <si>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</si>
  <si>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</si>
  <si>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</si>
  <si>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</si>
  <si>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</si>
  <si>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</si>
  <si>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</si>
  <si>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</si>
  <si>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</si>
  <si>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</si>
  <si>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</si>
  <si>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</si>
  <si>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</si>
  <si>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</si>
  <si>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</si>
  <si>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</si>
  <si>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</si>
  <si>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</si>
  <si>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</si>
  <si>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</si>
  <si>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</si>
  <si>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</si>
  <si>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</si>
  <si>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</si>
  <si>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</si>
  <si>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</si>
  <si>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</si>
  <si>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</si>
  <si>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</si>
  <si>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</si>
  <si>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</si>
  <si>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</si>
  <si>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</si>
  <si>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</si>
  <si>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</si>
  <si>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</si>
  <si>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</si>
  <si>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</si>
  <si>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</si>
  <si>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</si>
  <si>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</si>
  <si>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</si>
  <si>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</si>
  <si>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</si>
  <si>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</si>
  <si>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</si>
  <si>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</si>
  <si>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</si>
  <si>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</si>
  <si>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</si>
  <si>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</si>
  <si>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</si>
  <si>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</si>
  <si>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</si>
  <si>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</si>
  <si>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</si>
  <si>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</si>
  <si>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</si>
  <si>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</si>
  <si>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</si>
  <si>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</si>
  <si>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</si>
  <si>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</si>
  <si>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</si>
  <si>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</si>
  <si>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</si>
  <si>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</si>
  <si>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</si>
  <si>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</si>
  <si>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</si>
  <si>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</si>
  <si>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</si>
  <si>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</si>
  <si>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</si>
  <si>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</si>
  <si>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</si>
  <si>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</si>
  <si>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</si>
  <si>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</si>
  <si>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</si>
  <si>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</si>
  <si>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</si>
  <si>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</si>
  <si>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</si>
  <si>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</si>
  <si>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</si>
  <si>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</si>
  <si>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</si>
  <si>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</si>
  <si>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</si>
  <si>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</si>
  <si>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</si>
  <si>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</si>
  <si>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</si>
  <si>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</si>
  <si>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</si>
  <si>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</si>
  <si>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</si>
  <si>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</si>
  <si>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</si>
  <si>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</si>
  <si>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</si>
  <si>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</si>
  <si>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</si>
  <si>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</si>
  <si>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</si>
  <si>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</si>
  <si>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</si>
  <si>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</si>
  <si>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</si>
  <si>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</si>
  <si>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</si>
  <si>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</si>
  <si>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</si>
  <si>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</si>
  <si>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</si>
  <si>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</si>
  <si>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</si>
  <si>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</si>
  <si>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</si>
  <si>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</si>
  <si>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</si>
  <si>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</si>
  <si>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</si>
  <si>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</si>
  <si>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</si>
  <si>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</si>
  <si>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</si>
  <si>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</si>
  <si>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</si>
  <si>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</si>
  <si>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</si>
  <si>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</si>
  <si>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</si>
  <si>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</si>
  <si>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</si>
  <si>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</si>
  <si>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</si>
  <si>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</si>
  <si>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</si>
  <si>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</si>
  <si>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</si>
  <si>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</si>
  <si>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</si>
  <si>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</si>
  <si>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</si>
  <si>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</si>
  <si>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</si>
  <si>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</si>
  <si>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</si>
  <si>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</si>
  <si>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</si>
  <si>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</si>
  <si>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</si>
  <si>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</si>
  <si>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</si>
  <si>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</si>
  <si>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</si>
  <si>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</si>
  <si>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</si>
  <si>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</si>
  <si>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</si>
  <si>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</si>
  <si>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</si>
  <si>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</si>
  <si>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</si>
  <si>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</si>
  <si>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</si>
  <si>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</si>
  <si>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</si>
  <si>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</si>
  <si>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</si>
  <si>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</si>
  <si>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</si>
  <si>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</si>
  <si>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</si>
  <si>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</si>
  <si>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</si>
  <si>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</si>
  <si>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</si>
  <si>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</si>
  <si>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</si>
  <si>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</si>
  <si>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</si>
  <si>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</si>
  <si>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</si>
  <si>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</si>
  <si>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</si>
  <si>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</si>
  <si>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</si>
  <si>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</si>
  <si>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</si>
  <si>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</si>
  <si>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</si>
  <si>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</si>
  <si>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</si>
  <si>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</si>
  <si>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</si>
  <si>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</si>
  <si>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</si>
  <si>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</si>
  <si>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</si>
  <si>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</si>
  <si>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</si>
  <si>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</si>
  <si>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</si>
  <si>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</si>
  <si>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</si>
  <si>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</si>
  <si>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</si>
  <si>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</si>
  <si>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</si>
  <si>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</si>
  <si>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</si>
  <si>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</si>
  <si>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</si>
  <si>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</si>
  <si>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</si>
  <si>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</si>
  <si>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</si>
  <si>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</si>
  <si>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</si>
  <si>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</si>
  <si>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</si>
  <si>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</si>
  <si>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</si>
  <si>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</si>
  <si>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</si>
  <si>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</si>
  <si>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</si>
  <si>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</si>
  <si>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</si>
  <si>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</si>
  <si>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</si>
  <si>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</si>
  <si>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</si>
  <si>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</si>
  <si>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</si>
  <si>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</si>
  <si>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</si>
  <si>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</si>
  <si>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</si>
  <si>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</si>
  <si>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</si>
  <si>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</si>
  <si>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</si>
  <si>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</si>
  <si>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</si>
  <si>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</si>
  <si>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</si>
  <si>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</si>
  <si>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</si>
  <si>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</si>
  <si>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</si>
  <si>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</si>
  <si>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</si>
  <si>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</si>
  <si>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</si>
  <si>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</si>
  <si>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</si>
  <si>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</si>
  <si>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</si>
  <si>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</si>
  <si>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</si>
  <si>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</si>
  <si>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</si>
  <si>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</si>
  <si>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</si>
  <si>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</si>
  <si>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</si>
  <si>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</si>
  <si>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</si>
  <si>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</si>
  <si>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</si>
  <si>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</si>
  <si>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</si>
  <si>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</si>
  <si>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</si>
  <si>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</si>
  <si>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</si>
  <si>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</si>
  <si>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</si>
  <si>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</si>
  <si>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</si>
  <si>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</si>
  <si>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</si>
  <si>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</si>
  <si>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</si>
  <si>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</si>
  <si>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</si>
  <si>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</si>
  <si>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</si>
  <si>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</si>
  <si>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</si>
  <si>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</si>
  <si>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</si>
  <si>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</si>
  <si>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</si>
  <si>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</si>
  <si>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</si>
  <si>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</si>
  <si>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</si>
  <si>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</si>
  <si>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</si>
  <si>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</si>
  <si>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</si>
  <si>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</si>
  <si>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</si>
  <si>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</si>
  <si>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</si>
  <si>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</si>
  <si>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</si>
  <si>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</si>
  <si>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</si>
  <si>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</si>
  <si>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</si>
  <si>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</si>
  <si>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</si>
  <si>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</si>
  <si>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</si>
  <si>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</si>
  <si>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</si>
  <si>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</si>
  <si>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</si>
  <si>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</si>
  <si>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</si>
  <si>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</si>
  <si>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</si>
  <si>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</si>
  <si>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</si>
  <si>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</si>
  <si>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</si>
  <si>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</si>
  <si>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</si>
  <si>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</si>
  <si>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</si>
  <si>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</si>
  <si>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</si>
  <si>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</si>
  <si>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</si>
  <si>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</si>
  <si>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</si>
  <si>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</si>
  <si>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</si>
  <si>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</si>
  <si>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</si>
  <si>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</si>
  <si>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</si>
  <si>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</si>
  <si>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</si>
  <si>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</si>
  <si>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</si>
  <si>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</si>
  <si>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</si>
  <si>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</si>
  <si>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</si>
  <si>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</si>
  <si>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</si>
  <si>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</si>
  <si>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</si>
  <si>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</si>
  <si>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</si>
  <si>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</si>
  <si>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</si>
  <si>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</si>
  <si>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</si>
  <si>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</si>
  <si>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</si>
  <si>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</si>
  <si>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</si>
  <si>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</si>
  <si>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</si>
  <si>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</si>
  <si>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</si>
  <si>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</si>
  <si>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</si>
  <si>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</si>
  <si>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</si>
  <si>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</si>
  <si>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</si>
  <si>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</si>
  <si>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</si>
  <si>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</si>
  <si>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</si>
  <si>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</si>
  <si>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</si>
  <si>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</si>
  <si>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</si>
  <si>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</si>
  <si>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</si>
  <si>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</si>
  <si>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</si>
  <si>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</si>
  <si>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</si>
  <si>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</si>
  <si>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</si>
  <si>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</si>
  <si>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</si>
  <si>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</si>
  <si>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</si>
  <si>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</si>
  <si>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</si>
  <si>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</si>
  <si>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</si>
  <si>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</si>
  <si>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</si>
  <si>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</si>
  <si>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</si>
  <si>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</si>
  <si>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</si>
  <si>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</si>
  <si>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</si>
  <si>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</si>
  <si>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</si>
  <si>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</si>
  <si>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</si>
  <si>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</si>
  <si>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</si>
  <si>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</si>
  <si>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</si>
  <si>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</si>
  <si>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</si>
  <si>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</si>
  <si>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</si>
  <si>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</si>
  <si>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</si>
  <si>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</si>
  <si>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</si>
  <si>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</si>
  <si>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</si>
  <si>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</si>
  <si>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</si>
  <si>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</si>
  <si>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</si>
  <si>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</si>
  <si>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</si>
  <si>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</si>
  <si>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</si>
  <si>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</si>
  <si>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</si>
  <si>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</si>
  <si>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</si>
  <si>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</si>
  <si>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</si>
  <si>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</si>
  <si>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</si>
  <si>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</si>
  <si>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</si>
  <si>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</si>
  <si>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</si>
  <si>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</si>
  <si>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</si>
  <si>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</si>
  <si>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</si>
  <si>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</si>
  <si>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</si>
  <si>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</si>
  <si>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</si>
  <si>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</si>
  <si>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</si>
  <si>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</si>
  <si>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</si>
  <si>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</si>
  <si>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</si>
  <si>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</si>
  <si>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</si>
  <si>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</si>
  <si>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</si>
  <si>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</si>
  <si>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</si>
  <si>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</si>
  <si>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</si>
  <si>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</si>
  <si>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</si>
  <si>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</si>
  <si>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</si>
  <si>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</si>
  <si>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</si>
  <si>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</si>
  <si>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</si>
  <si>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</si>
  <si>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</si>
  <si>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</si>
  <si>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</si>
  <si>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</si>
  <si>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</si>
  <si>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</si>
  <si>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</si>
  <si>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</si>
  <si>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</si>
  <si>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</si>
  <si>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</si>
  <si>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</si>
  <si>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</si>
  <si>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</si>
  <si>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</si>
  <si>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</si>
  <si>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</si>
  <si>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</si>
  <si>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</si>
  <si>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</si>
  <si>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</si>
  <si>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</si>
  <si>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</si>
  <si>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</si>
  <si>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</si>
  <si>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</si>
  <si>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</si>
  <si>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</si>
  <si>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</si>
  <si>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</si>
  <si>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</si>
  <si>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</si>
  <si>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</si>
  <si>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</si>
  <si>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</si>
  <si>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</si>
  <si>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</si>
  <si>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</si>
  <si>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</si>
  <si>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</si>
  <si>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</si>
  <si>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</si>
  <si>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</si>
  <si>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</si>
  <si>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</si>
  <si>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</si>
  <si>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</si>
  <si>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</si>
  <si>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</si>
  <si>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</si>
  <si>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</si>
  <si>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</si>
  <si>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</si>
  <si>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</si>
  <si>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</si>
  <si>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</si>
  <si>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</si>
  <si>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</si>
  <si>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</si>
  <si>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</si>
  <si>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</si>
  <si>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</si>
  <si>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</si>
  <si>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</si>
  <si>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</si>
  <si>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</si>
  <si>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</si>
  <si>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</si>
  <si>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</si>
  <si>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</si>
  <si>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</si>
  <si>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</si>
  <si>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</si>
  <si>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</si>
  <si>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</si>
  <si>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</si>
  <si>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</si>
  <si>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</si>
  <si>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</si>
  <si>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</si>
  <si>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</si>
  <si>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</si>
  <si>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</si>
  <si>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</si>
  <si>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</si>
  <si>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</si>
  <si>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</si>
  <si>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</si>
  <si>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</si>
  <si>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</si>
  <si>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</si>
  <si>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</si>
  <si>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</si>
  <si>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</si>
  <si>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</si>
  <si>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</si>
  <si>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</si>
  <si>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</si>
  <si>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</si>
  <si>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</si>
  <si>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</si>
  <si>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</si>
  <si>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</si>
  <si>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</si>
  <si>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</si>
  <si>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</si>
  <si>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</si>
  <si>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</si>
  <si>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</si>
  <si>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</si>
  <si>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</si>
  <si>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</si>
  <si>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</si>
  <si>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</si>
  <si>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</si>
  <si>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</si>
  <si>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</si>
  <si>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</si>
  <si>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</si>
  <si>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</si>
  <si>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</si>
  <si>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</si>
  <si>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</si>
  <si>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</si>
  <si>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</si>
  <si>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</si>
  <si>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</si>
  <si>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</si>
  <si>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</si>
  <si>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</si>
  <si>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</si>
  <si>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</si>
  <si>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</si>
  <si>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</si>
  <si>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</si>
  <si>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</si>
  <si>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</si>
  <si>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</si>
  <si>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</si>
  <si>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</si>
  <si>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</si>
  <si>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</si>
  <si>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</si>
  <si>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</si>
  <si>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</si>
  <si>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</si>
  <si>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</si>
  <si>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</si>
  <si>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</si>
  <si>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</si>
  <si>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</si>
  <si>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</si>
  <si>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</si>
  <si>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</si>
  <si>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</si>
  <si>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</si>
  <si>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</si>
  <si>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</si>
  <si>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</si>
  <si>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</si>
  <si>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</si>
  <si>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</si>
  <si>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</si>
  <si>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</si>
  <si>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</si>
  <si>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</si>
  <si>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</si>
  <si>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</si>
  <si>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</si>
  <si>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</si>
  <si>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</si>
  <si>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</si>
  <si>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</si>
  <si>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</si>
  <si>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</si>
  <si>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</si>
  <si>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</si>
  <si>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</si>
  <si>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</si>
  <si>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</si>
  <si>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</si>
  <si>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</si>
  <si>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</si>
  <si>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</si>
  <si>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</si>
  <si>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</si>
  <si>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</si>
  <si>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</si>
  <si>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</si>
  <si>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</si>
  <si>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</si>
  <si>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</si>
  <si>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</si>
  <si>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</si>
  <si>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</si>
  <si>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</si>
  <si>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</si>
  <si>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</si>
  <si>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</si>
  <si>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</si>
  <si>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</si>
  <si>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</si>
  <si>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</si>
  <si>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</si>
  <si>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</si>
  <si>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</si>
  <si>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</si>
  <si>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</si>
  <si>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</si>
  <si>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</si>
  <si>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</si>
  <si>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</si>
  <si>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</si>
  <si>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</si>
  <si>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</si>
  <si>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</si>
  <si>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</si>
  <si>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</si>
  <si>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</si>
  <si>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</si>
  <si>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</si>
  <si>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</si>
  <si>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</si>
  <si>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</si>
  <si>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</si>
  <si>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</si>
  <si>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</si>
  <si>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</si>
  <si>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</si>
  <si>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</si>
  <si>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</si>
  <si>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</si>
  <si>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</si>
  <si>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</si>
  <si>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</si>
  <si>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</si>
  <si>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</si>
  <si>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</si>
  <si>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</si>
  <si>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</si>
  <si>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</si>
  <si>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</si>
  <si>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</si>
  <si>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</si>
  <si>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</si>
  <si>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</si>
  <si>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</si>
  <si>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</si>
  <si>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</si>
  <si>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</si>
  <si>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</si>
  <si>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</si>
  <si>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</si>
  <si>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</si>
  <si>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</si>
  <si>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</si>
  <si>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</si>
  <si>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</si>
  <si>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</si>
  <si>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</si>
  <si>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</si>
  <si>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</si>
  <si>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</si>
  <si>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</si>
  <si>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</si>
  <si>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</si>
  <si>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</si>
  <si>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</si>
  <si>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</si>
  <si>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</si>
  <si>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</si>
  <si>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</si>
  <si>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</si>
  <si>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</si>
  <si>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</si>
  <si>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</si>
  <si>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</si>
  <si>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</si>
  <si>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</si>
  <si>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</si>
  <si>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</si>
  <si>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</si>
  <si>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</si>
  <si>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</si>
  <si>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</si>
  <si>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</si>
  <si>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</si>
  <si>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</si>
  <si>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</si>
  <si>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</si>
  <si>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</si>
  <si>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</si>
  <si>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</si>
  <si>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</si>
  <si>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</si>
  <si>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</si>
  <si>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</si>
  <si>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</si>
  <si>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</si>
  <si>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</si>
  <si>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</si>
  <si>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</si>
  <si>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</si>
  <si>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</si>
  <si>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</si>
  <si>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</si>
  <si>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</si>
  <si>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</si>
  <si>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</si>
  <si>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</si>
  <si>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</si>
  <si>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</si>
  <si>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</si>
  <si>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</si>
  <si>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</si>
  <si>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</si>
  <si>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</si>
  <si>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</si>
  <si>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</si>
  <si>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</si>
  <si>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</si>
  <si>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</si>
  <si>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</si>
  <si>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</si>
  <si>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</si>
  <si>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</si>
  <si>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</si>
  <si>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</si>
  <si>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</si>
  <si>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</si>
  <si>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</si>
  <si>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</si>
  <si>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</si>
  <si>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</si>
  <si>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</si>
  <si>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</si>
  <si>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</si>
  <si>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</si>
  <si>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</si>
  <si>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</si>
  <si>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</si>
  <si>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</si>
  <si>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</si>
  <si>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</si>
  <si>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</si>
  <si>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</si>
  <si>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</si>
  <si>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</si>
  <si>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</si>
  <si>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</si>
  <si>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</si>
  <si>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</si>
  <si>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</si>
  <si>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</si>
  <si>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</si>
  <si>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</si>
  <si>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</si>
  <si>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</si>
  <si>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</si>
  <si>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</si>
  <si>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</si>
  <si>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</si>
  <si>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</si>
  <si>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</si>
  <si>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</si>
  <si>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</si>
  <si>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</si>
  <si>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</si>
  <si>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</si>
  <si>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</si>
  <si>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</si>
  <si>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</si>
  <si>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</si>
  <si>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</si>
  <si>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</si>
  <si>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</si>
  <si>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</si>
  <si>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</si>
  <si>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</si>
  <si>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</si>
  <si>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</si>
  <si>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</si>
  <si>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</si>
  <si>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</si>
  <si>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</si>
  <si>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</si>
  <si>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</si>
  <si>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</si>
  <si>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</si>
  <si>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</si>
  <si>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</si>
  <si>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</si>
  <si>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</si>
  <si>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</si>
  <si>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</si>
  <si>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</si>
  <si>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</si>
  <si>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</si>
  <si>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</si>
  <si>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</si>
  <si>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</si>
  <si>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</si>
  <si>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</si>
  <si>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</si>
  <si>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</si>
  <si>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</si>
  <si>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</si>
  <si>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</si>
  <si>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</si>
  <si>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</si>
  <si>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</si>
  <si>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</si>
  <si>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</si>
  <si>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</si>
  <si>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</si>
  <si>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</si>
  <si>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</si>
  <si>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</si>
  <si>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</si>
  <si>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</si>
  <si>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</si>
  <si>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</si>
  <si>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</si>
  <si>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</si>
  <si>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</si>
  <si>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</si>
  <si>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</si>
  <si>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</si>
  <si>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</si>
  <si>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</si>
  <si>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</si>
  <si>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</si>
  <si>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</si>
  <si>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</si>
  <si>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</si>
  <si>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</si>
  <si>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</si>
  <si>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</si>
  <si>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</si>
  <si>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</si>
  <si>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</si>
  <si>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</si>
  <si>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</si>
  <si>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</si>
  <si>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</si>
  <si>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</si>
  <si>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</si>
  <si>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</si>
  <si>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</si>
  <si>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</si>
  <si>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</si>
  <si>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</si>
  <si>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</si>
  <si>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</si>
  <si>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</si>
  <si>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</si>
  <si>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</si>
  <si>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</si>
  <si>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</si>
  <si>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</si>
  <si>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</si>
  <si>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</si>
  <si>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</si>
  <si>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</si>
  <si>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</si>
  <si>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</si>
  <si>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</si>
  <si>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</si>
  <si>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</si>
  <si>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</si>
  <si>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</si>
  <si>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</si>
  <si>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</si>
  <si>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</si>
  <si>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</si>
  <si>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</si>
  <si>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</si>
  <si>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</si>
  <si>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</si>
  <si>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</si>
  <si>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</si>
  <si>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</si>
  <si>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</si>
  <si>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</si>
  <si>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</si>
  <si>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</si>
  <si>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</si>
  <si>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</si>
  <si>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</si>
  <si>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</si>
  <si>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</si>
  <si>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</si>
  <si>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</si>
  <si>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</si>
  <si>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</si>
  <si>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</si>
  <si>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</si>
  <si>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</si>
  <si>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</si>
  <si>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</si>
  <si>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</si>
  <si>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</si>
  <si>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</si>
  <si>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</si>
  <si>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</si>
  <si>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</si>
  <si>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</si>
  <si>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</si>
  <si>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</si>
  <si>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</si>
  <si>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</si>
  <si>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</si>
  <si>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</si>
  <si>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</si>
  <si>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</si>
  <si>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</si>
  <si>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</si>
  <si>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</si>
  <si>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</si>
  <si>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</si>
  <si>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</si>
  <si>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</si>
  <si>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</si>
  <si>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</si>
  <si>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</si>
  <si>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</si>
  <si>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</si>
  <si>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</si>
  <si>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</si>
  <si>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</si>
  <si>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</si>
  <si>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</si>
  <si>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</si>
  <si>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</si>
  <si>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</si>
  <si>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</si>
  <si>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</si>
  <si>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</si>
  <si>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</si>
  <si>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</si>
  <si>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</si>
  <si>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</si>
  <si>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</si>
  <si>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</si>
  <si>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</si>
  <si>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</si>
  <si>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</si>
  <si>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</si>
  <si>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</si>
  <si>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</si>
  <si>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</si>
  <si>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</si>
  <si>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</si>
  <si>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</si>
  <si>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</si>
  <si>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</si>
  <si>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</si>
  <si>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</si>
  <si>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</si>
  <si>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</si>
  <si>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</si>
  <si>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</si>
  <si>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</si>
  <si>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</si>
  <si>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</si>
  <si>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</si>
  <si>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</si>
  <si>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</si>
  <si>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</si>
  <si>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</si>
  <si>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</si>
  <si>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</si>
  <si>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</si>
  <si>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</si>
  <si>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</si>
  <si>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</si>
  <si>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</si>
  <si>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</si>
  <si>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</si>
  <si>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</si>
  <si>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</si>
  <si>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</si>
  <si>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</si>
  <si>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</si>
  <si>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</si>
  <si>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</si>
  <si>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</si>
  <si>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</si>
  <si>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</si>
  <si>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</si>
  <si>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</si>
  <si>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</si>
  <si>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</si>
  <si>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</si>
  <si>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</si>
  <si>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</si>
  <si>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</si>
  <si>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</si>
  <si>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</si>
  <si>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</si>
  <si>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</si>
  <si>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</si>
  <si>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</si>
  <si>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</si>
  <si>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</si>
  <si>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</si>
  <si>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</si>
  <si>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</si>
  <si>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</si>
  <si>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</si>
  <si>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</si>
  <si>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</si>
  <si>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</si>
  <si>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</si>
  <si>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</si>
  <si>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</si>
  <si>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</si>
  <si>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</si>
  <si>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</si>
  <si>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</si>
  <si>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</si>
  <si>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</si>
  <si>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</si>
  <si>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</si>
  <si>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</si>
  <si>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</si>
  <si>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</si>
  <si>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</si>
  <si>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</si>
  <si>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</si>
  <si>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</si>
  <si>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</si>
  <si>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</si>
  <si>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</si>
  <si>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</si>
  <si>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</si>
  <si>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</si>
  <si>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</si>
  <si>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</si>
  <si>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</si>
  <si>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</si>
  <si>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</si>
  <si>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</si>
  <si>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</si>
  <si>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</si>
  <si>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</si>
  <si>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</si>
  <si>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</si>
  <si>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</si>
  <si>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</si>
  <si>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</si>
  <si>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</si>
  <si>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</si>
  <si>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</si>
  <si>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</si>
  <si>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</si>
  <si>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</si>
  <si>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</si>
  <si>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</si>
  <si>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</si>
  <si>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</si>
  <si>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</si>
  <si>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</si>
  <si>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</si>
  <si>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</si>
  <si>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</si>
  <si>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</si>
  <si>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</si>
  <si>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</si>
  <si>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</si>
  <si>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</si>
  <si>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</si>
  <si>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</si>
  <si>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</si>
  <si>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</si>
  <si>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</si>
  <si>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</si>
  <si>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</si>
  <si>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</si>
  <si>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</si>
  <si>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</si>
  <si>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</si>
  <si>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</si>
  <si>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</si>
  <si>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</si>
  <si>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</si>
  <si>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</si>
  <si>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</si>
  <si>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</si>
  <si>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</si>
  <si>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</si>
  <si>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</si>
  <si>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</si>
  <si>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</si>
  <si>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</si>
  <si>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</si>
  <si>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</si>
  <si>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</si>
  <si>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</si>
  <si>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</si>
  <si>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</si>
  <si>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</si>
  <si>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</si>
  <si>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</si>
  <si>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</si>
  <si>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</si>
  <si>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</si>
  <si>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</si>
  <si>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</si>
  <si>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</si>
  <si>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</si>
  <si>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</si>
  <si>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</si>
  <si>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</si>
  <si>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</si>
  <si>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</si>
  <si>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</si>
  <si>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</si>
  <si>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</si>
  <si>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</si>
  <si>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</si>
  <si>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</si>
  <si>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</si>
  <si>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</si>
  <si>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</si>
  <si>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</si>
  <si>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</si>
  <si>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</si>
  <si>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</si>
  <si>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</si>
  <si>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</si>
  <si>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</si>
  <si>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</si>
  <si>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</si>
  <si>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</si>
  <si>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</si>
  <si>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</si>
  <si>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</si>
  <si>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</si>
  <si>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</si>
  <si>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</si>
  <si>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</si>
  <si>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</si>
  <si>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</si>
  <si>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</si>
  <si>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</si>
  <si>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</si>
  <si>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</si>
  <si>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</si>
  <si>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</si>
  <si>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</si>
  <si>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</si>
  <si>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</si>
  <si>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</si>
  <si>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</si>
  <si>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</si>
  <si>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</si>
  <si>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</si>
  <si>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</si>
  <si>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</si>
  <si>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</si>
  <si>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</si>
  <si>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</si>
  <si>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</si>
  <si>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</si>
  <si>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</si>
  <si>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</si>
  <si>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</si>
  <si>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</si>
  <si>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</si>
  <si>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</si>
  <si>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</si>
  <si>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</si>
  <si>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</si>
  <si>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</si>
  <si>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</si>
  <si>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</si>
  <si>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</si>
  <si>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</si>
  <si>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</si>
  <si>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</si>
  <si>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</si>
  <si>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</si>
  <si>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</si>
  <si>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</si>
  <si>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</si>
  <si>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</si>
  <si>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</si>
  <si>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</si>
  <si>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</si>
  <si>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</si>
  <si>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</si>
  <si>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</si>
  <si>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</si>
  <si>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</si>
  <si>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</si>
  <si>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</si>
  <si>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</si>
  <si>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</si>
  <si>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</si>
  <si>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</si>
  <si>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</si>
  <si>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</si>
  <si>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</si>
  <si>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</si>
  <si>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</si>
  <si>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</si>
  <si>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</si>
  <si>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</si>
  <si>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</si>
  <si>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</t>
  </si>
  <si>
    <t>MC1 as 10:35h</t>
  </si>
  <si>
    <t>TIQTRO</t>
  </si>
  <si>
    <t>MC1 as 09:25h</t>
  </si>
  <si>
    <t>N70</t>
  </si>
  <si>
    <t>Deslocamento da loco 9425 para o W70</t>
  </si>
  <si>
    <t>Locomotiva trancada no pátio, sem previsão de manobra devido carregamentos</t>
  </si>
  <si>
    <t>Pronto as 09:43h - Intervalo após I35 -Alteração da coordenador do local de trabalho</t>
  </si>
  <si>
    <t>TCS-TOM</t>
  </si>
  <si>
    <t>TCSTOM</t>
  </si>
  <si>
    <t>Inspeção com Rodo Elton/Bruno</t>
  </si>
  <si>
    <t>MC1 as 07:47h - licença as 08:06h - circulando</t>
  </si>
  <si>
    <t>Pronto as 08:04h - intervalo das 08:38h as 11:08h</t>
  </si>
  <si>
    <t>Intervalo das 08:38h as 11:08h</t>
  </si>
  <si>
    <t>Aguardando manutenção na garra da retro</t>
  </si>
  <si>
    <t>Carga de pedra e deslocamento para PIT</t>
  </si>
  <si>
    <t>Aguardando MC1</t>
  </si>
  <si>
    <t>MC1 as 08:14h - Licença as 08:40h</t>
  </si>
  <si>
    <t>MC1 as 09:23h - licença as 09:28h</t>
  </si>
  <si>
    <t>Deslocamento de POV a PUR</t>
  </si>
  <si>
    <t>Ronda de auto</t>
  </si>
  <si>
    <t>Cancelado - auto de linha avariado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</si>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</sst>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BK348" activePane="bottomRight" state="frozen"/>
      <selection pane="bottomRight" activeCell="BO354" sqref="BO35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>
        <v>1</v>
      </c>
      <c r="BI341" s="16"/>
      <c r="BJ341" s="16" t="s">
        <v>1745</v>
      </c>
      <c r="BK341" s="16"/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1</v>
      </c>
      <c r="BI344" s="16"/>
      <c r="BJ344" s="16" t="s">
        <v>1746</v>
      </c>
      <c r="BK344" s="16"/>
      <c r="BL344" s="15"/>
      <c r="BM344" s="14"/>
      <c r="BN344" s="14"/>
      <c r="BO344" s="160"/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/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1747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1</v>
      </c>
      <c r="BI346" s="16"/>
      <c r="BJ346" s="330" t="s">
        <v>1748</v>
      </c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 ht="23.2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1749</v>
      </c>
      <c r="E347" s="314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32" t="s">
        <v>1750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300" t="str">
        <f>IF(BS_CONTROLE[[#This Row],[Local - Partida]]=0, "-", BS_CONTROLE[[#This Row],[Local - Partida]])</f>
        <v>TGR</v>
      </c>
      <c r="AL347" s="300" t="str">
        <f>IF(BS_CONTROLE[[#This Row],[Local - Encerramento]]=0, "-", BS_CONTROLE[[#This Row],[Local - Encerramento]])</f>
        <v>TIQ</v>
      </c>
      <c r="AM347" s="300" t="str">
        <f>IF(BS_CONTROLE[[#This Row],[Entre - Estações]]=0, "-", BS_CONTROLE[[#This Row],[Entre - Estações]])</f>
        <v>TGR-TIQ</v>
      </c>
      <c r="AN347" s="300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30" t="s">
        <v>1751</v>
      </c>
      <c r="BK347" s="330" t="s">
        <v>1751</v>
      </c>
      <c r="BL347" s="15"/>
      <c r="BM347" s="14" t="s">
        <v>984</v>
      </c>
      <c r="BN347" s="14" t="s">
        <v>0</v>
      </c>
      <c r="BO347" s="160" t="s">
        <v>1071</v>
      </c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32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tr">
        <f>IF(BS_CONTROLE[[#This Row],[Local - Partida]]=0, "-", BS_CONTROLE[[#This Row],[Local - Partida]])</f>
        <v>THESUL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TRC-THE</v>
      </c>
      <c r="AN348" s="300" t="str">
        <f>IF(BS_CONTROLE[[#This Row],[SB]]=0, "-", BS_CONTROLE[[#This Row],[SB]])</f>
        <v>THESUL</v>
      </c>
      <c r="AO348" s="280">
        <f>IF(BS_CONTROLE[[#This Row],[SUB]]=0, "-", BS_CONTROLE[[#This Row],[SUB]])</f>
        <v>74</v>
      </c>
      <c r="AP348" s="281">
        <f>IF(BS_CONTROLE[[#This Row],[KM - Inicio]]=0, "-", BS_CONTROLE[[#This Row],[KM - Inicio]])</f>
        <v>300.95600000000002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1</v>
      </c>
      <c r="BI348" s="16"/>
      <c r="BJ348" s="330" t="s">
        <v>1752</v>
      </c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/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>
        <v>74</v>
      </c>
      <c r="K350" s="37">
        <v>403</v>
      </c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0" s="80" t="str">
        <f>IFERROR(_xlfn.XLOOKUP(J350, BASE_MAPA!$E$2:$E$359, BASE_MAPA!$J$2:$J$359), "ERRO")</f>
        <v>MARCO INICIAL - ALTO ARAGUAIA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TMT</v>
      </c>
      <c r="AN350" s="300" t="str">
        <f>IF(BS_CONTROLE[[#This Row],[SB]]=0, "-", BS_CONTROLE[[#This Row],[SB]])</f>
        <v>TMT1</v>
      </c>
      <c r="AO350" s="280">
        <f>IF(BS_CONTROLE[[#This Row],[SUB]]=0, "-", BS_CONTROLE[[#This Row],[SUB]])</f>
        <v>74</v>
      </c>
      <c r="AP350" s="281">
        <f>IF(BS_CONTROLE[[#This Row],[KM - Inicio]]=0, "-", BS_CONTROLE[[#This Row],[KM - Inicio]])</f>
        <v>403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0" s="11" t="str">
        <f>IFERROR(_xlfn.XLOOKUP(AO350, BASE_MAPA!$E$2:$E$359, BASE_MAPA!$J$2:$J$359), "ERRO")</f>
        <v>MARCO INICIAL - ALTO ARAGUAIA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534</v>
      </c>
      <c r="I351" s="142" t="s">
        <v>570</v>
      </c>
      <c r="J351" s="37">
        <v>74</v>
      </c>
      <c r="K351" s="37">
        <v>294</v>
      </c>
      <c r="L351" s="83">
        <v>400</v>
      </c>
      <c r="M351" s="199" t="s">
        <v>1753</v>
      </c>
      <c r="N351" s="199" t="s">
        <v>1754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1755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294THE</v>
      </c>
      <c r="AL351" s="300" t="str">
        <f>IF(BS_CONTROLE[[#This Row],[Local - Encerramento]]=0, "-", BS_CONTROLE[[#This Row],[Local - Encerramento]])</f>
        <v>TOM</v>
      </c>
      <c r="AM351" s="300" t="str">
        <f>IF(BS_CONTROLE[[#This Row],[Entre - Estações]]=0, "-", BS_CONTROLE[[#This Row],[Entre - Estações]])</f>
        <v>TCS-TOM</v>
      </c>
      <c r="AN351" s="300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294</v>
      </c>
      <c r="AQ351" s="281">
        <f>IF(BS_CONTROLE[[#This Row],[KM - Fim]]=0, "-", BS_CONTROLE[[#This Row],[KM - Fim]])</f>
        <v>400</v>
      </c>
      <c r="AR351" s="237"/>
      <c r="AS351" s="237"/>
      <c r="AT351" s="237"/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1</v>
      </c>
      <c r="BI351" s="16"/>
      <c r="BJ351" s="330" t="s">
        <v>1756</v>
      </c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Produção e Intervalo</v>
      </c>
      <c r="BR351" s="18">
        <f>IF(OR(B351="",F351=""),"*",AY351/P351)</f>
        <v>0</v>
      </c>
      <c r="BS351" s="18">
        <f>IF(OR(B351="",F351=""),"*",BA351/Q351)</f>
        <v>0</v>
      </c>
      <c r="BT351" s="220" t="str">
        <f>IF(BN351="","",SUBSTITUTE(BM351," ","")&amp;SUBSTITUTE(BN351," ",""))</f>
        <v/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1</v>
      </c>
      <c r="BI354" s="16"/>
      <c r="BJ354" s="330" t="s">
        <v>1757</v>
      </c>
      <c r="BK354" s="16" t="s">
        <v>1758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>W5046044</v>
      </c>
      <c r="B357" s="163">
        <v>46044</v>
      </c>
      <c r="C357" s="8">
        <f>IF(BS_CONTROLE[[#This Row],[DATA]]="","",WEEKNUM(BS_CONTROLE[[#This Row],[DATA]]))</f>
        <v>4</v>
      </c>
      <c r="D357" s="51" t="s">
        <v>838</v>
      </c>
      <c r="E357" s="314"/>
      <c r="F357" s="167" t="s">
        <v>747</v>
      </c>
      <c r="G357" s="9" t="str">
        <f>IF(D357="","*",VLOOKUP(F357,BS_ATIVIDADE[#All],3,FALSE))</f>
        <v>MODERNIZAÇÃO</v>
      </c>
      <c r="H357" s="142" t="s">
        <v>264</v>
      </c>
      <c r="I357" s="142" t="s">
        <v>264</v>
      </c>
      <c r="J357" s="37">
        <v>74</v>
      </c>
      <c r="K357" s="37">
        <v>249.5</v>
      </c>
      <c r="L357" s="83">
        <v>249</v>
      </c>
      <c r="M357" s="199" t="s">
        <v>255</v>
      </c>
      <c r="N357" s="199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57" s="142">
        <v>0.35416666666666669</v>
      </c>
      <c r="P357" s="142">
        <v>0.125</v>
      </c>
      <c r="Q357" s="83">
        <v>500</v>
      </c>
      <c r="R357" s="10" t="s">
        <v>650</v>
      </c>
      <c r="S357" s="284" t="s">
        <v>14</v>
      </c>
      <c r="T357" s="284" t="s">
        <v>185</v>
      </c>
      <c r="U357" s="80" t="s">
        <v>184</v>
      </c>
      <c r="V357" s="294" t="s">
        <v>1321</v>
      </c>
      <c r="W357" s="332" t="s">
        <v>1722</v>
      </c>
      <c r="X357" s="51" t="s">
        <v>972</v>
      </c>
      <c r="Y357" s="153" t="s">
        <v>975</v>
      </c>
      <c r="Z357" s="153"/>
      <c r="AA357" s="143" t="s">
        <v>1655</v>
      </c>
      <c r="AB357" s="70" t="s">
        <v>964</v>
      </c>
      <c r="AC357" s="70"/>
      <c r="AD357" s="168">
        <v>0.29166666666666669</v>
      </c>
      <c r="AE357" s="83"/>
      <c r="AF357" s="83"/>
      <c r="AG357" s="83"/>
      <c r="AH357" s="48"/>
      <c r="AI357" s="141" t="str">
        <f>IF(BS_CONTROLE[[#This Row],[Atividade]]=0, "-", BS_CONTROLE[[#This Row],[Atividade]])</f>
        <v>MODERNIZAÇÃO - RECOLHIMENTO DE DORMENTE</v>
      </c>
      <c r="AJ357" s="9" t="str">
        <f>IF(D357="","*",VLOOKUP(AI357,BS_ATIVIDADE[#Data],3,FALSE))</f>
        <v>MODERNIZAÇÃO</v>
      </c>
      <c r="AK357" s="300" t="str">
        <f>IF(BS_CONTROLE[[#This Row],[Local - Partida]]=0, "-", BS_CONTROLE[[#This Row],[Local - Partida]])</f>
        <v>TCS</v>
      </c>
      <c r="AL357" s="300" t="str">
        <f>IF(BS_CONTROLE[[#This Row],[Local - Encerramento]]=0, "-", BS_CONTROLE[[#This Row],[Local - Encerramento]])</f>
        <v>TCS</v>
      </c>
      <c r="AM357" s="300" t="str">
        <f>IF(BS_CONTROLE[[#This Row],[Entre - Estações]]=0, "-", BS_CONTROLE[[#This Row],[Entre - Estações]])</f>
        <v>TVI-TJA</v>
      </c>
      <c r="AN357" s="300">
        <f>IF(BS_CONTROLE[[#This Row],[SB]]=0, "-", BS_CONTROLE[[#This Row],[SB]])</f>
        <v>239251</v>
      </c>
      <c r="AO357" s="280">
        <f>IF(BS_CONTROLE[[#This Row],[SUB]]=0, "-", BS_CONTROLE[[#This Row],[SUB]])</f>
        <v>74</v>
      </c>
      <c r="AP357" s="281">
        <f>IF(BS_CONTROLE[[#This Row],[KM - Inicio]]=0, "-", BS_CONTROLE[[#This Row],[KM - Inicio]])</f>
        <v>249.5</v>
      </c>
      <c r="AQ357" s="281">
        <f>IF(BS_CONTROLE[[#This Row],[KM - Fim]]=0, "-", BS_CONTROLE[[#This Row],[KM - Fim]])</f>
        <v>249</v>
      </c>
      <c r="AR357" s="237"/>
      <c r="AS357" s="237"/>
      <c r="AT357" s="237"/>
      <c r="AU357" s="237"/>
      <c r="AV357" s="237"/>
      <c r="AW357" s="237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DORMENTES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BASE_MAPA!$E$2:$E$359, BASE_MAPA!$J$2:$J$359), "ERRO")</f>
        <v>MARCO INICIAL - ALTO ARAGUAIA</v>
      </c>
      <c r="BF357" s="282" t="str">
        <f>IF(BS_CONTROLE[[#This Row],[Responsavel pelo boletim]]=0, "-", BS_CONTROLE[[#This Row],[Responsavel pelo boletim]])</f>
        <v>Augusto</v>
      </c>
      <c r="BG357" s="15"/>
      <c r="BH357" s="16"/>
      <c r="BI357" s="16"/>
      <c r="BJ357" s="330" t="s">
        <v>1759</v>
      </c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/>
      </c>
      <c r="B360" s="163"/>
      <c r="C360" s="8" t="str">
        <f>IF(BS_CONTROLE[[#This Row],[DATA]]="","",WEEKNUM(BS_CONTROLE[[#This Row],[DATA]]))</f>
        <v/>
      </c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332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>V66</v>
      </c>
      <c r="B361" s="163"/>
      <c r="C361" s="8" t="str">
        <f>IF(BS_CONTROLE[[#This Row],[DATA]]="","",WEEKNUM(BS_CONTROLE[[#This Row],[DATA]]))</f>
        <v/>
      </c>
      <c r="D361" s="51" t="s">
        <v>788</v>
      </c>
      <c r="E361" s="314">
        <v>462</v>
      </c>
      <c r="F361" s="167" t="s">
        <v>834</v>
      </c>
      <c r="G361" s="9" t="str">
        <f>IF(D361="","*",VLOOKUP(F361,BS_ATIVIDADE[#All],3,FALSE))</f>
        <v>MODERNIZAÇÃO</v>
      </c>
      <c r="H361" s="142" t="s">
        <v>248</v>
      </c>
      <c r="I361" s="142" t="s">
        <v>248</v>
      </c>
      <c r="J361" s="37">
        <v>74</v>
      </c>
      <c r="K361" s="37">
        <v>171.11500000000001</v>
      </c>
      <c r="L361" s="83">
        <v>173.5</v>
      </c>
      <c r="M361" s="199" t="s">
        <v>245</v>
      </c>
      <c r="N361" s="199" t="s">
        <v>246</v>
      </c>
      <c r="O361" s="142">
        <v>0.39583333333333331</v>
      </c>
      <c r="P361" s="142">
        <v>0.125</v>
      </c>
      <c r="Q361" s="83">
        <v>500</v>
      </c>
      <c r="R361" s="10" t="s">
        <v>636</v>
      </c>
      <c r="S361" s="284" t="s">
        <v>14</v>
      </c>
      <c r="T361" s="284" t="s">
        <v>185</v>
      </c>
      <c r="U361" s="80" t="s">
        <v>184</v>
      </c>
      <c r="V361" s="294" t="s">
        <v>1321</v>
      </c>
      <c r="W361" s="332" t="s">
        <v>1473</v>
      </c>
      <c r="X361" s="51" t="s">
        <v>972</v>
      </c>
      <c r="Y361" s="153" t="s">
        <v>975</v>
      </c>
      <c r="Z361" s="153"/>
      <c r="AA361" s="143">
        <v>1</v>
      </c>
      <c r="AB361" s="70" t="s">
        <v>964</v>
      </c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MODERNIZAÇÃO - REGULAGEM</v>
      </c>
      <c r="AJ361" s="9" t="str">
        <f>IF(D361="","*",VLOOKUP(AI361,BS_ATIVIDADE[#Data],3,FALSE))</f>
        <v>MODERNIZAÇÃO</v>
      </c>
      <c r="AK361" s="300" t="str">
        <f>IF(BS_CONTROLE[[#This Row],[Local - Partida]]=0, "-", BS_CONTROLE[[#This Row],[Local - Partida]])</f>
        <v>TID</v>
      </c>
      <c r="AL361" s="300" t="str">
        <f>IF(BS_CONTROLE[[#This Row],[Local - Encerramento]]=0, "-", BS_CONTROLE[[#This Row],[Local - Encerramento]])</f>
        <v>TID</v>
      </c>
      <c r="AM361" s="300" t="str">
        <f>IF(BS_CONTROLE[[#This Row],[Entre - Estações]]=0, "-", BS_CONTROLE[[#This Row],[Entre - Estações]])</f>
        <v>TCE-TID</v>
      </c>
      <c r="AN361" s="300" t="str">
        <f>IF(BS_CONTROLE[[#This Row],[SB]]=0, "-", BS_CONTROLE[[#This Row],[SB]])</f>
        <v>TCE177</v>
      </c>
      <c r="AO361" s="280">
        <f>IF(BS_CONTROLE[[#This Row],[SUB]]=0, "-", BS_CONTROLE[[#This Row],[SUB]])</f>
        <v>74</v>
      </c>
      <c r="AP361" s="281">
        <f>IF(BS_CONTROLE[[#This Row],[KM - Inicio]]=0, "-", BS_CONTROLE[[#This Row],[KM - Inicio]])</f>
        <v>171.11500000000001</v>
      </c>
      <c r="AQ361" s="281">
        <f>IF(BS_CONTROLE[[#This Row],[KM - Fim]]=0, "-", BS_CONTROLE[[#This Row],[KM - Fim]])</f>
        <v>173.5</v>
      </c>
      <c r="AR361" s="237"/>
      <c r="AS361" s="237"/>
      <c r="AT361" s="237"/>
      <c r="AU361" s="237"/>
      <c r="AV361" s="237"/>
      <c r="AW361" s="237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M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BASE_MAPA!$E$2:$E$359, BASE_MAPA!$J$2:$J$359), "ERRO")</f>
        <v>MARCO INICIAL - ALTO ARAGUAIA</v>
      </c>
      <c r="BF361" s="282" t="str">
        <f>IF(BS_CONTROLE[[#This Row],[Responsavel pelo boletim]]=0, "-", BS_CONTROLE[[#This Row],[Responsavel pelo boletim]])</f>
        <v>Augusto</v>
      </c>
      <c r="BG361" s="15"/>
      <c r="BH361" s="16"/>
      <c r="BI361" s="16"/>
      <c r="BJ361" s="330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 t="str">
        <f>IF(BS_CONTROLE[[#This Row],[DATA]]="","",WEEKNUM(BS_CONTROLE[[#This Row],[DATA]]))</f>
        <v/>
      </c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 t="shared" si="64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332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>IF(BN363="","",SUBSTITUTE(BM363," ","")&amp;SUBSTITUTE(BN363," ",""))</f>
        <v/>
      </c>
    </row>
    <row r="364" spans="1:72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1760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/>
      <c r="BI364" s="16"/>
      <c r="BJ364" s="330" t="s">
        <v>1761</v>
      </c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/>
      </c>
    </row>
    <row r="365" spans="1:72" hidden="1">
      <c r="A365" s="162" t="str">
        <f t="shared" si="64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1</v>
      </c>
      <c r="BI366" s="16"/>
      <c r="BJ366" s="330" t="s">
        <v>1762</v>
      </c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>IF(BN366="","",SUBSTITUTE(BM366," ","")&amp;SUBSTITUTE(BN366," ",""))</f>
        <v/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1</v>
      </c>
      <c r="BI367" s="16"/>
      <c r="BJ367" s="330" t="s">
        <v>1763</v>
      </c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 hidden="1">
      <c r="A368" s="162" t="str">
        <f t="shared" si="64"/>
        <v>E14</v>
      </c>
      <c r="B368" s="163"/>
      <c r="C368" s="8"/>
      <c r="D368" s="51" t="s">
        <v>748</v>
      </c>
      <c r="E368" s="314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32" t="s">
        <v>1764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300" t="str">
        <f>IF(BS_CONTROLE[[#This Row],[Local - Partida]]=0, "-", BS_CONTROLE[[#This Row],[Local - Partida]])</f>
        <v>POV</v>
      </c>
      <c r="AL368" s="300" t="str">
        <f>IF(BS_CONTROLE[[#This Row],[Local - Encerramento]]=0, "-", BS_CONTROLE[[#This Row],[Local - Encerramento]])</f>
        <v>PUR</v>
      </c>
      <c r="AM368" s="300" t="str">
        <f>IF(BS_CONTROLE[[#This Row],[Entre - Estações]]=0, "-", BS_CONTROLE[[#This Row],[Entre - Estações]])</f>
        <v>POV-PJA</v>
      </c>
      <c r="AN368" s="300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/>
      <c r="AS368" s="237"/>
      <c r="AT368" s="237"/>
      <c r="AU368" s="237"/>
      <c r="AV368" s="237"/>
      <c r="AW368" s="237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4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32" t="s">
        <v>1765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300" t="str">
        <f>IF(BS_CONTROLE[[#This Row],[Local - Partida]]=0, "-", BS_CONTROLE[[#This Row],[Local - Partida]])</f>
        <v>ZFH2</v>
      </c>
      <c r="AL369" s="300" t="str">
        <f>IF(BS_CONTROLE[[#This Row],[Local - Encerramento]]=0, "-", BS_CONTROLE[[#This Row],[Local - Encerramento]])</f>
        <v>ZIQ</v>
      </c>
      <c r="AM369" s="300" t="str">
        <f>IF(BS_CONTROLE[[#This Row],[Entre - Estações]]=0, "-", BS_CONTROLE[[#This Row],[Entre - Estações]])</f>
        <v>ZQY-ZFH</v>
      </c>
      <c r="AN369" s="300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30" t="s">
        <v>1766</v>
      </c>
      <c r="BK369" s="304" t="s">
        <v>1766</v>
      </c>
      <c r="BL369" s="15"/>
      <c r="BM369" s="14" t="s">
        <v>988</v>
      </c>
      <c r="BN369" s="14" t="s">
        <v>1018</v>
      </c>
      <c r="BO369" s="160" t="s">
        <v>1096</v>
      </c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 hidden="1">
      <c r="A375" s="162" t="str">
        <f t="shared" si="64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>IF(BN377="","",SUBSTITUTE(BM377," ","")&amp;SUBSTITUTE(BN377," ",""))</f>
        <v/>
      </c>
    </row>
    <row r="378" spans="1:72" hidden="1">
      <c r="A378" s="162" t="str">
        <f t="shared" si="64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>IF(BN383="","",SUBSTITUTE(BM383," ","")&amp;SUBSTITUTE(BN383," ",""))</f>
        <v/>
      </c>
    </row>
    <row r="384" spans="1:72" hidden="1">
      <c r="A384" s="162" t="str">
        <f t="shared" si="64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>IF(BN385="","",SUBSTITUTE(BM385," ","")&amp;SUBSTITUTE(BN385," ",""))</f>
        <v/>
      </c>
    </row>
    <row r="386" spans="1:72" hidden="1">
      <c r="A386" s="162" t="str">
        <f t="shared" si="64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>IF(BN386="","",SUBSTITUTE(BM386," ","")&amp;SUBSTITUTE(BN386," ",""))</f>
        <v/>
      </c>
    </row>
    <row r="387" spans="1:72" hidden="1">
      <c r="A387" s="162" t="str">
        <f t="shared" si="64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>IF(BN389="","",SUBSTITUTE(BM389," ","")&amp;SUBSTITUTE(BN389," ",""))</f>
        <v/>
      </c>
    </row>
    <row r="390" spans="1:72" hidden="1">
      <c r="A390" s="162" t="str">
        <f t="shared" si="64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>IF(BN390="","",SUBSTITUTE(BM390," ","")&amp;SUBSTITUTE(BN390," ",""))</f>
        <v/>
      </c>
    </row>
    <row r="391" spans="1:72" hidden="1">
      <c r="A391" s="162" t="str">
        <f t="shared" si="64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5:Y356 V354:X354 V358:Y360 V357:X357 V362:Y363 V361:X361 V365:Y365 V364:X364 V368:Y368 V366:X367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57 Y361 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1:Z368 Y369:Y444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6:Z368 Y369:Y444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 BK369 BK347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69 BK347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6 BK333 BK370:BK493 BK348:BK368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1767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1768</v>
      </c>
      <c r="E3" s="316" t="s">
        <v>1769</v>
      </c>
      <c r="F3" s="316" t="s">
        <v>1770</v>
      </c>
      <c r="G3" s="316" t="s">
        <v>1771</v>
      </c>
      <c r="H3" s="316" t="s">
        <v>1772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1773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1774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topLeftCell="B1" workbookViewId="0">
      <selection activeCell="G2" sqref="G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1775</v>
      </c>
      <c r="W1" s="397"/>
      <c r="X1" s="397"/>
      <c r="Y1" s="103"/>
    </row>
    <row r="2" spans="1:25" s="100" customFormat="1" ht="11.25" customHeight="1">
      <c r="A2" s="104" t="s">
        <v>1776</v>
      </c>
      <c r="B2" s="104" t="s">
        <v>1777</v>
      </c>
      <c r="C2" s="104" t="s">
        <v>605</v>
      </c>
      <c r="D2" s="105" t="s">
        <v>1177</v>
      </c>
      <c r="E2" s="105" t="s">
        <v>1178</v>
      </c>
      <c r="F2" s="105" t="s">
        <v>1778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1779</v>
      </c>
      <c r="U2" s="107" t="s">
        <v>1180</v>
      </c>
      <c r="V2" s="102">
        <f ca="1">TODAY()-1</f>
        <v>46043</v>
      </c>
      <c r="W2" s="102">
        <f ca="1">V2-1</f>
        <v>46042</v>
      </c>
      <c r="X2" s="102">
        <f ca="1">W2-1</f>
        <v>46041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1894</v>
      </c>
      <c r="X7" s="111">
        <f ca="1">_xlfn.XLOOKUP(G7&amp;$X$2,BS_CONTROLE[CHAVE],BS_CONTROLE[Quantidade_11],"-")</f>
        <v>1880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1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1894</v>
      </c>
      <c r="X10" s="111">
        <f ca="1">_xlfn.XLOOKUP(G10&amp;$X$2,BS_CONTROLE[CHAVE],BS_CONTROLE[Quantidade_11],"-")</f>
        <v>1880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90</v>
      </c>
      <c r="W11" s="111">
        <f ca="1">_xlfn.XLOOKUP(G11&amp;$W$2,BS_CONTROLE[CHAVE],BS_CONTROLE[Quantidade_11],"-")</f>
        <v>1316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1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1894</v>
      </c>
      <c r="X18" s="111">
        <f ca="1">_xlfn.XLOOKUP(G18&amp;$X$2,BS_CONTROLE[CHAVE],BS_CONTROLE[Quantidade_11],"-")</f>
        <v>1880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90</v>
      </c>
      <c r="W19" s="111">
        <f ca="1">_xlfn.XLOOKUP(G19&amp;$W$2,BS_CONTROLE[CHAVE],BS_CONTROLE[Quantidade_11],"-")</f>
        <v>1316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1894</v>
      </c>
      <c r="X23" s="111">
        <f ca="1">_xlfn.XLOOKUP(G23&amp;$X$2,BS_CONTROLE[CHAVE],BS_CONTROLE[Quantidade_11],"-")</f>
        <v>1880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1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1894</v>
      </c>
      <c r="X29" s="111">
        <f ca="1">_xlfn.XLOOKUP(G29&amp;$X$2,BS_CONTROLE[CHAVE],BS_CONTROLE[Quantidade_11],"-")</f>
        <v>1880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90</v>
      </c>
      <c r="W30" s="111">
        <f ca="1">_xlfn.XLOOKUP(G30&amp;$W$2,BS_CONTROLE[CHAVE],BS_CONTROLE[Quantidade_11],"-")</f>
        <v>1316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3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300</v>
      </c>
      <c r="W32" s="111">
        <f ca="1">_xlfn.XLOOKUP(G32&amp;$W$2,BS_CONTROLE[CHAVE],BS_CONTROLE[Quantidade_11],"-")</f>
        <v>179</v>
      </c>
      <c r="X32" s="111">
        <f ca="1">_xlfn.XLOOKUP(G32&amp;$X$2,BS_CONTROLE[CHAVE],BS_CONTROLE[Quantidade_11],"-")</f>
        <v>289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1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1894</v>
      </c>
      <c r="X38" s="111">
        <f ca="1">_xlfn.XLOOKUP(G38&amp;$X$2,BS_CONTROLE[CHAVE],BS_CONTROLE[Quantidade_11],"-")</f>
        <v>1880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300</v>
      </c>
      <c r="W44" s="111">
        <f ca="1">_xlfn.XLOOKUP(G44&amp;$W$2,BS_CONTROLE[CHAVE],BS_CONTROLE[Quantidade_11],"-")</f>
        <v>179</v>
      </c>
      <c r="X44" s="111">
        <f ca="1">_xlfn.XLOOKUP(G44&amp;$X$2,BS_CONTROLE[CHAVE],BS_CONTROLE[Quantidade_11],"-")</f>
        <v>289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90</v>
      </c>
      <c r="W46" s="111">
        <f ca="1">_xlfn.XLOOKUP(G46&amp;$W$2,BS_CONTROLE[CHAVE],BS_CONTROLE[Quantidade_11],"-")</f>
        <v>1316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1894</v>
      </c>
      <c r="X52" s="111">
        <f ca="1">_xlfn.XLOOKUP(G52&amp;$X$2,BS_CONTROLE[CHAVE],BS_CONTROLE[Quantidade_11],"-")</f>
        <v>1880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1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1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3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90</v>
      </c>
      <c r="W63" s="111">
        <f ca="1">_xlfn.XLOOKUP(G63&amp;$W$2,BS_CONTROLE[CHAVE],BS_CONTROLE[Quantidade_11],"-")</f>
        <v>1316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1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1894</v>
      </c>
      <c r="X70" s="111">
        <f ca="1">_xlfn.XLOOKUP(G70&amp;$X$2,BS_CONTROLE[CHAVE],BS_CONTROLE[Quantidade_11],"-")</f>
        <v>1880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>
        <f ca="1">_xlfn.XLOOKUP(G74&amp;$V$2,BS_CONTROLE[CHAVE],BS_CONTROLE[Quantidade_11],"-")</f>
        <v>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3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1894</v>
      </c>
      <c r="X92" s="111">
        <f ca="1">_xlfn.XLOOKUP(G92&amp;$X$2,BS_CONTROLE[CHAVE],BS_CONTROLE[Quantidade_11],"-")</f>
        <v>1880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3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90</v>
      </c>
      <c r="W102" s="111">
        <f ca="1">_xlfn.XLOOKUP(G102&amp;$W$2,BS_CONTROLE[CHAVE],BS_CONTROLE[Quantidade_11],"-")</f>
        <v>1316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1894</v>
      </c>
      <c r="X119" s="111">
        <f ca="1">_xlfn.XLOOKUP(G119&amp;$X$2,BS_CONTROLE[CHAVE],BS_CONTROLE[Quantidade_11],"-")</f>
        <v>1880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1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3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1894</v>
      </c>
      <c r="X128" s="111">
        <f ca="1">_xlfn.XLOOKUP(G128&amp;$X$2,BS_CONTROLE[CHAVE],BS_CONTROLE[Quantidade_11],"-")</f>
        <v>1880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90</v>
      </c>
      <c r="W132" s="111">
        <f ca="1">_xlfn.XLOOKUP(G132&amp;$W$2,BS_CONTROLE[CHAVE],BS_CONTROLE[Quantidade_11],"-")</f>
        <v>1316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1894</v>
      </c>
      <c r="X135" s="111">
        <f ca="1">_xlfn.XLOOKUP(G135&amp;$X$2,BS_CONTROLE[CHAVE],BS_CONTROLE[Quantidade_11],"-")</f>
        <v>1880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1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300</v>
      </c>
      <c r="W140" s="111">
        <f ca="1">_xlfn.XLOOKUP(G140&amp;$W$2,BS_CONTROLE[CHAVE],BS_CONTROLE[Quantidade_11],"-")</f>
        <v>179</v>
      </c>
      <c r="X140" s="111">
        <f ca="1">_xlfn.XLOOKUP(G140&amp;$X$2,BS_CONTROLE[CHAVE],BS_CONTROLE[Quantidade_11],"-")</f>
        <v>289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1894</v>
      </c>
      <c r="X156" s="111">
        <f ca="1">_xlfn.XLOOKUP(G156&amp;$X$2,BS_CONTROLE[CHAVE],BS_CONTROLE[Quantidade_11],"-")</f>
        <v>1880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1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90</v>
      </c>
      <c r="W162" s="111">
        <f ca="1">_xlfn.XLOOKUP(G162&amp;$W$2,BS_CONTROLE[CHAVE],BS_CONTROLE[Quantidade_11],"-")</f>
        <v>1316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3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>
        <f ca="1">_xlfn.XLOOKUP(G167&amp;$V$2,BS_CONTROLE[CHAVE],BS_CONTROLE[Quantidade_11],"-")</f>
        <v>0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300</v>
      </c>
      <c r="W169" s="111">
        <f ca="1">_xlfn.XLOOKUP(G169&amp;$W$2,BS_CONTROLE[CHAVE],BS_CONTROLE[Quantidade_11],"-")</f>
        <v>179</v>
      </c>
      <c r="X169" s="111">
        <f ca="1">_xlfn.XLOOKUP(G169&amp;$X$2,BS_CONTROLE[CHAVE],BS_CONTROLE[Quantidade_11],"-")</f>
        <v>289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1894</v>
      </c>
      <c r="X182" s="111">
        <f ca="1">_xlfn.XLOOKUP(G182&amp;$X$2,BS_CONTROLE[CHAVE],BS_CONTROLE[Quantidade_11],"-")</f>
        <v>1880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1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300</v>
      </c>
      <c r="W190" s="111">
        <f ca="1">_xlfn.XLOOKUP(G190&amp;$W$2,BS_CONTROLE[CHAVE],BS_CONTROLE[Quantidade_11],"-")</f>
        <v>179</v>
      </c>
      <c r="X190" s="111">
        <f ca="1">_xlfn.XLOOKUP(G190&amp;$X$2,BS_CONTROLE[CHAVE],BS_CONTROLE[Quantidade_11],"-")</f>
        <v>289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>
        <f ca="1">_xlfn.XLOOKUP(G192&amp;$V$2,BS_CONTROLE[CHAVE],BS_CONTROLE[Quantidade_11],"-")</f>
        <v>0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3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1894</v>
      </c>
      <c r="X204" s="111">
        <f ca="1">_xlfn.XLOOKUP(G204&amp;$X$2,BS_CONTROLE[CHAVE],BS_CONTROLE[Quantidade_11],"-")</f>
        <v>1880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300</v>
      </c>
      <c r="W212" s="111">
        <f ca="1">_xlfn.XLOOKUP(G212&amp;$W$2,BS_CONTROLE[CHAVE],BS_CONTROLE[Quantidade_11],"-")</f>
        <v>179</v>
      </c>
      <c r="X212" s="111">
        <f ca="1">_xlfn.XLOOKUP(G212&amp;$X$2,BS_CONTROLE[CHAVE],BS_CONTROLE[Quantidade_11],"-")</f>
        <v>289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>
        <f ca="1">_xlfn.XLOOKUP(G215&amp;$V$2,BS_CONTROLE[CHAVE],BS_CONTROLE[Quantidade_11],"-")</f>
        <v>0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3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1894</v>
      </c>
      <c r="X227" s="111">
        <f ca="1">_xlfn.XLOOKUP(G227&amp;$X$2,BS_CONTROLE[CHAVE],BS_CONTROLE[Quantidade_11],"-")</f>
        <v>1880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1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90</v>
      </c>
      <c r="W237" s="111">
        <f ca="1">_xlfn.XLOOKUP(G237&amp;$W$2,BS_CONTROLE[CHAVE],BS_CONTROLE[Quantidade_11],"-")</f>
        <v>1316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>
        <f ca="1">_xlfn.XLOOKUP(G239&amp;$V$2,BS_CONTROLE[CHAVE],BS_CONTROLE[Quantidade_11],"-")</f>
        <v>0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3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1894</v>
      </c>
      <c r="X253" s="111">
        <f ca="1">_xlfn.XLOOKUP(G253&amp;$X$2,BS_CONTROLE[CHAVE],BS_CONTROLE[Quantidade_11],"-")</f>
        <v>1880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1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3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1894</v>
      </c>
      <c r="X269" s="111">
        <f ca="1">_xlfn.XLOOKUP(G269&amp;$X$2,BS_CONTROLE[CHAVE],BS_CONTROLE[Quantidade_11],"-")</f>
        <v>1880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1894</v>
      </c>
      <c r="X278" s="111">
        <f ca="1">_xlfn.XLOOKUP(G278&amp;$X$2,BS_CONTROLE[CHAVE],BS_CONTROLE[Quantidade_11],"-")</f>
        <v>1880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1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1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90</v>
      </c>
      <c r="W287" s="111">
        <f ca="1">_xlfn.XLOOKUP(G287&amp;$W$2,BS_CONTROLE[CHAVE],BS_CONTROLE[Quantidade_11],"-")</f>
        <v>1316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3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>
        <f ca="1">_xlfn.XLOOKUP(G291&amp;$V$2,BS_CONTROLE[CHAVE],BS_CONTROLE[Quantidade_11],"-")</f>
        <v>0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300</v>
      </c>
      <c r="W292" s="111">
        <f ca="1">_xlfn.XLOOKUP(G292&amp;$W$2,BS_CONTROLE[CHAVE],BS_CONTROLE[Quantidade_11],"-")</f>
        <v>179</v>
      </c>
      <c r="X292" s="111">
        <f ca="1">_xlfn.XLOOKUP(G292&amp;$X$2,BS_CONTROLE[CHAVE],BS_CONTROLE[Quantidade_11],"-")</f>
        <v>289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1894</v>
      </c>
      <c r="X299" s="111">
        <f ca="1">_xlfn.XLOOKUP(G299&amp;$X$2,BS_CONTROLE[CHAVE],BS_CONTROLE[Quantidade_11],"-")</f>
        <v>1880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1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>
        <f ca="1">_xlfn.XLOOKUP(G301&amp;$W$2,BS_CONTROLE[CHAVE],BS_CONTROLE[Quantidade_11],"-")</f>
        <v>1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3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300</v>
      </c>
      <c r="W304" s="111">
        <f ca="1">_xlfn.XLOOKUP(G304&amp;$W$2,BS_CONTROLE[CHAVE],BS_CONTROLE[Quantidade_11],"-")</f>
        <v>179</v>
      </c>
      <c r="X304" s="111">
        <f ca="1">_xlfn.XLOOKUP(G304&amp;$X$2,BS_CONTROLE[CHAVE],BS_CONTROLE[Quantidade_11],"-")</f>
        <v>289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90</v>
      </c>
      <c r="W305" s="111">
        <f ca="1">_xlfn.XLOOKUP(G305&amp;$W$2,BS_CONTROLE[CHAVE],BS_CONTROLE[Quantidade_11],"-")</f>
        <v>1316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0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1894</v>
      </c>
      <c r="X311" s="111">
        <f ca="1">_xlfn.XLOOKUP(G311&amp;$X$2,BS_CONTROLE[CHAVE],BS_CONTROLE[Quantidade_11],"-")</f>
        <v>1880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1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300</v>
      </c>
      <c r="W315" s="111">
        <f ca="1">_xlfn.XLOOKUP(G315&amp;$W$2,BS_CONTROLE[CHAVE],BS_CONTROLE[Quantidade_11],"-")</f>
        <v>179</v>
      </c>
      <c r="X315" s="111">
        <f ca="1">_xlfn.XLOOKUP(G315&amp;$X$2,BS_CONTROLE[CHAVE],BS_CONTROLE[Quantidade_11],"-")</f>
        <v>289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3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90</v>
      </c>
      <c r="W322" s="111">
        <f ca="1">_xlfn.XLOOKUP(G322&amp;$W$2,BS_CONTROLE[CHAVE],BS_CONTROLE[Quantidade_11],"-")</f>
        <v>1316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>
        <f ca="1">_xlfn.XLOOKUP(G325&amp;$V$2,BS_CONTROLE[CHAVE],BS_CONTROLE[Quantidade_11],"-")</f>
        <v>0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1894</v>
      </c>
      <c r="X341" s="111">
        <f ca="1">_xlfn.XLOOKUP(G341&amp;$X$2,BS_CONTROLE[CHAVE],BS_CONTROLE[Quantidade_11],"-")</f>
        <v>1880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300</v>
      </c>
      <c r="W343" s="111">
        <f ca="1">_xlfn.XLOOKUP(G343&amp;$W$2,BS_CONTROLE[CHAVE],BS_CONTROLE[Quantidade_11],"-")</f>
        <v>179</v>
      </c>
      <c r="X343" s="111">
        <f ca="1">_xlfn.XLOOKUP(G343&amp;$X$2,BS_CONTROLE[CHAVE],BS_CONTROLE[Quantidade_11],"-")</f>
        <v>289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8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1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FERRONORTE</v>
      </c>
      <c r="E347" s="109" t="str">
        <f>IF(FN_MC!T350="","*",FN_MC!T350)</f>
        <v>TCS-TGR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TMT</v>
      </c>
      <c r="L347" s="328" t="str">
        <f>IF(FN_MC!N350="","*",FN_MC!N350)</f>
        <v>TMT1</v>
      </c>
      <c r="M347" s="110">
        <f>IF(FN_MC!J350="","*",FN_MC!J350)</f>
        <v>74</v>
      </c>
      <c r="N347" s="291">
        <f>IF(FN_MC!K350="","*",FN_MC!K350)</f>
        <v>403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294THE</v>
      </c>
      <c r="J348" s="109" t="str">
        <f>IF(FN_MC!I351="","*",FN_MC!I351)</f>
        <v>TOM</v>
      </c>
      <c r="K348" s="109" t="str">
        <f>IF(FN_MC!M351="","*",FN_MC!M351)</f>
        <v>TCS-TOM</v>
      </c>
      <c r="L348" s="328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294</v>
      </c>
      <c r="O348" s="291">
        <f>IF(FN_MC!L351="","*",FN_MC!L351)</f>
        <v>400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3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OPORTUNIDADE</v>
      </c>
      <c r="B354" s="108" t="str">
        <f>IF(FN_MC!X357="","*",FN_MC!X357)</f>
        <v>Oportunidade</v>
      </c>
      <c r="C354" s="108" t="str">
        <f>IF(FN_MC!Z357="","*",FN_MC!Z357)</f>
        <v>*</v>
      </c>
      <c r="D354" s="109" t="str">
        <f>IF(FN_MC!S357="","*",FN_MC!S357)</f>
        <v>FERRONORTE</v>
      </c>
      <c r="E354" s="109" t="str">
        <f>IF(FN_MC!T357="","*",FN_MC!T357)</f>
        <v>TMI-TCS</v>
      </c>
      <c r="F354" s="109">
        <f>IF(FN_MC!B357="","*",FN_MC!B357)</f>
        <v>46044</v>
      </c>
      <c r="G354" s="109" t="str">
        <f>IF(FN_MC!D357="","*",FN_MC!D357)</f>
        <v>W50</v>
      </c>
      <c r="H354" s="109" t="str">
        <f>IF(FN_MC!F357="","*",FN_MC!F357)</f>
        <v>MODERNIZAÇÃO - RECOLHIMENTO DE DORMENTE</v>
      </c>
      <c r="I354" s="109" t="str">
        <f>IF(FN_MC!H357="","*",FN_MC!H357)</f>
        <v>TCS</v>
      </c>
      <c r="J354" s="109" t="str">
        <f>IF(FN_MC!I357="","*",FN_MC!I357)</f>
        <v>TCS</v>
      </c>
      <c r="K354" s="109" t="str">
        <f>IF(FN_MC!M357="","*",FN_MC!M357)</f>
        <v>TVI-TJA</v>
      </c>
      <c r="L354" s="328">
        <f>IF(FN_MC!N357="","*",FN_MC!N357)</f>
        <v>239251</v>
      </c>
      <c r="M354" s="110">
        <f>IF(FN_MC!J357="","*",FN_MC!J357)</f>
        <v>74</v>
      </c>
      <c r="N354" s="291">
        <f>IF(FN_MC!K357="","*",FN_MC!K357)</f>
        <v>249.5</v>
      </c>
      <c r="O354" s="291">
        <f>IF(FN_MC!L357="","*",FN_MC!L357)</f>
        <v>249</v>
      </c>
      <c r="P354" s="110"/>
      <c r="Q354" s="127">
        <f>IF(FN_MC!O357="","*",FN_MC!O357)</f>
        <v>0.35416666666666669</v>
      </c>
      <c r="R354" s="127">
        <f>IF(FN_MC!P357="","*",FN_MC!P357)</f>
        <v>0.125</v>
      </c>
      <c r="S354" s="109" t="str">
        <f>IF(FN_MC!Q357="","*",CONCATENATE(FN_MC!Q357," ",FN_MC!R357))</f>
        <v>500 Nº DE DORMENTES</v>
      </c>
      <c r="T354" s="109" t="str">
        <f>IF(FN_MC!V357="","*",FN_MC!V357)</f>
        <v>Augusto</v>
      </c>
      <c r="U354" s="109" t="str">
        <f>IF(FN_MC!W357="","*",FN_MC!W357)</f>
        <v>Recolhimento de dormente</v>
      </c>
      <c r="V354" s="111">
        <f ca="1">_xlfn.XLOOKUP(G354&amp;$V$2,BS_CONTROLE[CHAVE],BS_CONTROLE[Quantidade_11],"-")</f>
        <v>90</v>
      </c>
      <c r="W354" s="111">
        <f ca="1">_xlfn.XLOOKUP(G354&amp;$W$2,BS_CONTROLE[CHAVE],BS_CONTROLE[Quantidade_11],"-")</f>
        <v>1316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>
      <c r="A358" s="108" t="str">
        <f>IF(FN_MC!Y361="","*",FN_MC!Y361)</f>
        <v>OPORTUNIDADE</v>
      </c>
      <c r="B358" s="108" t="str">
        <f>IF(FN_MC!X361="","*",FN_MC!X361)</f>
        <v>Oportunidade</v>
      </c>
      <c r="C358" s="108" t="str">
        <f>IF(FN_MC!Z361="","*",FN_MC!Z361)</f>
        <v>*</v>
      </c>
      <c r="D358" s="109" t="str">
        <f>IF(FN_MC!S361="","*",FN_MC!S361)</f>
        <v>FERRONORTE</v>
      </c>
      <c r="E358" s="109" t="str">
        <f>IF(FN_MC!T361="","*",FN_MC!T361)</f>
        <v>TMI-TCS</v>
      </c>
      <c r="F358" s="109" t="str">
        <f>IF(FN_MC!B361="","*",FN_MC!B361)</f>
        <v>*</v>
      </c>
      <c r="G358" s="109" t="str">
        <f>IF(FN_MC!D361="","*",FN_MC!D361)</f>
        <v>V66</v>
      </c>
      <c r="H358" s="109" t="str">
        <f>IF(FN_MC!F361="","*",FN_MC!F361)</f>
        <v>MODERNIZAÇÃO - REGULAGEM</v>
      </c>
      <c r="I358" s="109" t="str">
        <f>IF(FN_MC!H361="","*",FN_MC!H361)</f>
        <v>TID</v>
      </c>
      <c r="J358" s="109" t="str">
        <f>IF(FN_MC!I361="","*",FN_MC!I361)</f>
        <v>TID</v>
      </c>
      <c r="K358" s="109" t="str">
        <f>IF(FN_MC!M361="","*",FN_MC!M361)</f>
        <v>TCE-TID</v>
      </c>
      <c r="L358" s="328" t="str">
        <f>IF(FN_MC!N361="","*",FN_MC!N361)</f>
        <v>TCE177</v>
      </c>
      <c r="M358" s="110">
        <f>IF(FN_MC!J361="","*",FN_MC!J361)</f>
        <v>74</v>
      </c>
      <c r="N358" s="291">
        <f>IF(FN_MC!K361="","*",FN_MC!K361)</f>
        <v>171.11500000000001</v>
      </c>
      <c r="O358" s="291">
        <f>IF(FN_MC!L361="","*",FN_MC!L361)</f>
        <v>173.5</v>
      </c>
      <c r="P358" s="110"/>
      <c r="Q358" s="127">
        <f>IF(FN_MC!O361="","*",FN_MC!O361)</f>
        <v>0.39583333333333331</v>
      </c>
      <c r="R358" s="127">
        <f>IF(FN_MC!P361="","*",FN_MC!P361)</f>
        <v>0.125</v>
      </c>
      <c r="S358" s="109" t="str">
        <f>IF(FN_MC!Q361="","*",CONCATENATE(FN_MC!Q361," ",FN_MC!R361))</f>
        <v>500 M</v>
      </c>
      <c r="T358" s="109" t="str">
        <f>IF(FN_MC!V361="","*",FN_MC!V361)</f>
        <v>Augusto</v>
      </c>
      <c r="U358" s="109" t="str">
        <f>IF(FN_MC!W361="","*",FN_MC!W361)</f>
        <v>Regulagem de brita</v>
      </c>
      <c r="V358" s="111">
        <f ca="1">_xlfn.XLOOKUP(G358&amp;$V$2,BS_CONTROLE[CHAVE],BS_CONTROLE[Quantidade_11],"-")</f>
        <v>0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0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 t="str">
        <f>IF(FN_MC!B368="","*",FN_MC!B368)</f>
        <v>*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8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8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1780</v>
      </c>
    </row>
  </sheetData>
  <autoFilter ref="A2:Y2999" xr:uid="{D1126E52-FA3F-4EAC-A720-DDE9797BEFF6}">
    <filterColumn colId="5">
      <filters>
        <dateGroupItem year="2026" month="1" day="22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1781</v>
      </c>
      <c r="C2" s="95" t="s">
        <v>1162</v>
      </c>
      <c r="D2" s="95" t="s">
        <v>1164</v>
      </c>
      <c r="E2" s="95" t="s">
        <v>1782</v>
      </c>
      <c r="F2" s="95" t="s">
        <v>1783</v>
      </c>
      <c r="G2" s="95" t="s">
        <v>1784</v>
      </c>
      <c r="H2" s="95" t="s">
        <v>1785</v>
      </c>
      <c r="I2" s="95" t="s">
        <v>1786</v>
      </c>
      <c r="J2" s="95" t="s">
        <v>1787</v>
      </c>
      <c r="K2" s="130" t="s">
        <v>1788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TMT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294THE</v>
      </c>
      <c r="F348" s="136" t="str">
        <f>IF(FN_MC!M351="","*",FN_MC!M351)</f>
        <v>TCS-TOM</v>
      </c>
      <c r="G348" s="120" t="str">
        <f>IF(FN_MC!I351="","*",FN_MC!I351)</f>
        <v>TOM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OPORTUNIDADE</v>
      </c>
      <c r="C354" s="120">
        <f>IF(FN_MC!B357="","*",FN_MC!B357)</f>
        <v>46044</v>
      </c>
      <c r="D354" s="120" t="str">
        <f>IF(FN_MC!D357="","*",FN_MC!D357)</f>
        <v>W50</v>
      </c>
      <c r="E354" s="120" t="str">
        <f>IF(FN_MC!H357="","*",FN_MC!H357)</f>
        <v>TCS</v>
      </c>
      <c r="F354" s="136" t="str">
        <f>IF(FN_MC!M357="","*",FN_MC!M357)</f>
        <v>TVI-TJA</v>
      </c>
      <c r="G354" s="120" t="str">
        <f>IF(FN_MC!I357="","*",FN_MC!I357)</f>
        <v>TCS</v>
      </c>
      <c r="H354" s="120" t="str">
        <f>IF(FN_MC!AB357="","*",FN_MC!AB357)</f>
        <v>FIXO</v>
      </c>
      <c r="I354" s="120" t="str">
        <f>IF(FN_MC!AC357="","*",FN_MC!AC357)</f>
        <v>*</v>
      </c>
      <c r="J354" s="121" t="str">
        <f>IF(FN_MC!AA357="","*",FN_MC!AA357)</f>
        <v>2 (Maicon e Eder)</v>
      </c>
      <c r="K354" s="133">
        <f>IF(FN_MC!AD357="","*",FN_MC!AD357)</f>
        <v>0.29166666666666669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OPORTUNIDADE</v>
      </c>
      <c r="C358" s="120" t="str">
        <f>IF(FN_MC!B361="","*",FN_MC!B361)</f>
        <v>*</v>
      </c>
      <c r="D358" s="120" t="str">
        <f>IF(FN_MC!D361="","*",FN_MC!D361)</f>
        <v>V66</v>
      </c>
      <c r="E358" s="120" t="str">
        <f>IF(FN_MC!H361="","*",FN_MC!H361)</f>
        <v>TID</v>
      </c>
      <c r="F358" s="136" t="str">
        <f>IF(FN_MC!M361="","*",FN_MC!M361)</f>
        <v>TCE-TID</v>
      </c>
      <c r="G358" s="120" t="str">
        <f>IF(FN_MC!I361="","*",FN_MC!I361)</f>
        <v>TID</v>
      </c>
      <c r="H358" s="120" t="str">
        <f>IF(FN_MC!AB361="","*",FN_MC!AB361)</f>
        <v>FIXO</v>
      </c>
      <c r="I358" s="120" t="str">
        <f>IF(FN_MC!AC361="","*",FN_MC!AC361)</f>
        <v>*</v>
      </c>
      <c r="J358" s="121">
        <f>IF(FN_MC!AA361="","*",FN_MC!AA361)</f>
        <v>1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TMT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294THE</v>
      </c>
      <c r="F456" s="136" t="str">
        <f>IF(FN_MC!M351="","*",FN_MC!M351)</f>
        <v>TCS-TOM</v>
      </c>
      <c r="G456" s="120" t="str">
        <f>IF(FN_MC!I351="","*",FN_MC!I351)</f>
        <v>TOM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OPORTUNIDADE</v>
      </c>
      <c r="C462" s="120">
        <f>IF(FN_MC!B357="","*",FN_MC!B357)</f>
        <v>46044</v>
      </c>
      <c r="D462" s="120" t="str">
        <f>IF(FN_MC!D357="","*",FN_MC!D357)</f>
        <v>W50</v>
      </c>
      <c r="E462" s="120" t="str">
        <f>IF(FN_MC!H357="","*",FN_MC!H357)</f>
        <v>TCS</v>
      </c>
      <c r="F462" s="136" t="str">
        <f>IF(FN_MC!M357="","*",FN_MC!M357)</f>
        <v>TVI-TJA</v>
      </c>
      <c r="G462" s="120" t="str">
        <f>IF(FN_MC!I357="","*",FN_MC!I357)</f>
        <v>TCS</v>
      </c>
      <c r="H462" s="120" t="str">
        <f>IF(FN_MC!AB357="","*",FN_MC!AB357)</f>
        <v>FIXO</v>
      </c>
      <c r="I462" s="120" t="str">
        <f>IF(FN_MC!AC357="","*",FN_MC!AC357)</f>
        <v>*</v>
      </c>
      <c r="J462" s="121" t="str">
        <f>IF(FN_MC!AA357="","*",FN_MC!AA357)</f>
        <v>2 (Maicon e Eder)</v>
      </c>
      <c r="K462" s="133">
        <f>IF(FN_MC!AD357="","*",FN_MC!AD357)</f>
        <v>0.29166666666666669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OPORTUNIDADE</v>
      </c>
      <c r="C466" s="120" t="str">
        <f>IF(FN_MC!B361="","*",FN_MC!B361)</f>
        <v>*</v>
      </c>
      <c r="D466" s="120" t="str">
        <f>IF(FN_MC!D361="","*",FN_MC!D361)</f>
        <v>V66</v>
      </c>
      <c r="E466" s="120" t="str">
        <f>IF(FN_MC!H361="","*",FN_MC!H361)</f>
        <v>TID</v>
      </c>
      <c r="F466" s="136" t="str">
        <f>IF(FN_MC!M361="","*",FN_MC!M361)</f>
        <v>TCE-TID</v>
      </c>
      <c r="G466" s="120" t="str">
        <f>IF(FN_MC!I361="","*",FN_MC!I361)</f>
        <v>TID</v>
      </c>
      <c r="H466" s="120" t="str">
        <f>IF(FN_MC!AB361="","*",FN_MC!AB361)</f>
        <v>FIXO</v>
      </c>
      <c r="I466" s="120" t="str">
        <f>IF(FN_MC!AC361="","*",FN_MC!AC361)</f>
        <v>*</v>
      </c>
      <c r="J466" s="121">
        <f>IF(FN_MC!AA361="","*",FN_MC!AA361)</f>
        <v>1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1789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1790</v>
      </c>
      <c r="C4" s="321" t="s">
        <v>1791</v>
      </c>
      <c r="D4" s="321" t="s">
        <v>1792</v>
      </c>
      <c r="E4" s="321" t="s">
        <v>1793</v>
      </c>
      <c r="F4" s="321" t="s">
        <v>7</v>
      </c>
      <c r="G4" s="321" t="s">
        <v>1794</v>
      </c>
      <c r="H4" s="187"/>
    </row>
    <row r="5" spans="1:8" ht="43.5">
      <c r="A5" s="187"/>
      <c r="B5" s="322" t="s">
        <v>1795</v>
      </c>
      <c r="C5" s="322">
        <v>309525</v>
      </c>
      <c r="D5" s="322" t="s">
        <v>1796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1797</v>
      </c>
      <c r="C6" s="322">
        <v>256875</v>
      </c>
      <c r="D6" s="322" t="s">
        <v>1798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1799</v>
      </c>
      <c r="C7" s="322">
        <v>257278</v>
      </c>
      <c r="D7" s="322" t="s">
        <v>1800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1801</v>
      </c>
      <c r="C8" s="322">
        <v>261794</v>
      </c>
      <c r="D8" s="322" t="s">
        <v>1802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1803</v>
      </c>
      <c r="C9" s="322">
        <v>257033</v>
      </c>
      <c r="D9" s="322" t="s">
        <v>1804</v>
      </c>
      <c r="E9" s="322" t="s">
        <v>838</v>
      </c>
      <c r="F9" s="322" t="s">
        <v>194</v>
      </c>
      <c r="G9" s="322" t="s">
        <v>1805</v>
      </c>
      <c r="H9" s="187"/>
    </row>
    <row r="10" spans="1:8" ht="43.5">
      <c r="A10" s="187"/>
      <c r="B10" s="322" t="s">
        <v>1806</v>
      </c>
      <c r="C10" s="322">
        <v>396578</v>
      </c>
      <c r="D10" s="322" t="s">
        <v>1807</v>
      </c>
      <c r="E10" s="322" t="s">
        <v>838</v>
      </c>
      <c r="F10" s="322" t="s">
        <v>194</v>
      </c>
      <c r="G10" s="322" t="s">
        <v>1805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1808</v>
      </c>
      <c r="D5" s="401"/>
      <c r="E5" s="401"/>
      <c r="F5" s="401"/>
      <c r="G5" s="401"/>
      <c r="H5" s="401"/>
      <c r="I5" s="401"/>
      <c r="J5" s="402"/>
      <c r="K5" s="403" t="s">
        <v>1809</v>
      </c>
      <c r="L5" s="404"/>
      <c r="M5" s="404"/>
      <c r="N5" s="404"/>
      <c r="O5" s="405" t="s">
        <v>1810</v>
      </c>
      <c r="P5" s="406"/>
      <c r="Q5" s="407"/>
    </row>
    <row r="6" spans="1:17" s="93" customFormat="1" ht="15.75" customHeight="1">
      <c r="A6" s="87" t="s">
        <v>1778</v>
      </c>
      <c r="B6" s="94" t="s">
        <v>1777</v>
      </c>
      <c r="C6" s="95" t="s">
        <v>1177</v>
      </c>
      <c r="D6" s="96" t="s">
        <v>1178</v>
      </c>
      <c r="E6" s="95" t="s">
        <v>1811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1812</v>
      </c>
      <c r="M6" s="138" t="s">
        <v>628</v>
      </c>
      <c r="N6" s="139" t="s">
        <v>1172</v>
      </c>
      <c r="O6" s="241" t="s">
        <v>1215</v>
      </c>
      <c r="P6" s="152"/>
      <c r="Q6" s="188" t="s">
        <v>1813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1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1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1</v>
      </c>
      <c r="P432" s="90"/>
      <c r="Q432" s="144" t="str">
        <f>IF($A$2=1,IF(FN_MC!BJ346="","*",FN_MC!BJ346),IF(FN_MC!BK346="","*",FN_MC!BK346))</f>
        <v>*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THESUL</v>
      </c>
      <c r="L434" s="140" t="str">
        <f>IF(FN_MC!AM348="","*",FN_MC!AM348)</f>
        <v>TRC-THE</v>
      </c>
      <c r="M434" s="140">
        <f>IF(FN_MC!AP348="","*",FN_MC!AP348)</f>
        <v>300.95600000000002</v>
      </c>
      <c r="N434" s="140" t="str">
        <f>IF(FN_MC!AM348="","*",FN_MC!AM348)</f>
        <v>TRC-THE</v>
      </c>
      <c r="O434" s="169">
        <f>IF(FN_MC!BH348="","*",FN_MC!BH348)</f>
        <v>1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FERRONORTE</v>
      </c>
      <c r="D436" s="99" t="str">
        <f>IF(FN_MC!T350="","*",FN_MC!T350)</f>
        <v>TCS-TGR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TMT</v>
      </c>
      <c r="H436" s="149">
        <f>IF(FN_MC!K350="","*",FN_MC!K350)</f>
        <v>403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TMT</v>
      </c>
      <c r="M436" s="140">
        <f>IF(FN_MC!AP350="","*",FN_MC!AP350)</f>
        <v>403</v>
      </c>
      <c r="N436" s="140" t="str">
        <f>IF(FN_MC!AM350="","*",FN_MC!AM350)</f>
        <v>TMT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294THE</v>
      </c>
      <c r="G437" s="99" t="str">
        <f>IF(FN_MC!M351="","*",FN_MC!M351)</f>
        <v>TCS-TOM</v>
      </c>
      <c r="H437" s="149">
        <f>IF(FN_MC!K351="","*",FN_MC!K351)</f>
        <v>294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294THE</v>
      </c>
      <c r="L437" s="140" t="str">
        <f>IF(FN_MC!AM351="","*",FN_MC!AM351)</f>
        <v>TCS-TOM</v>
      </c>
      <c r="M437" s="140">
        <f>IF(FN_MC!AP351="","*",FN_MC!AP351)</f>
        <v>294</v>
      </c>
      <c r="N437" s="140" t="str">
        <f>IF(FN_MC!AM351="","*",FN_MC!AM351)</f>
        <v>TCS-TOM</v>
      </c>
      <c r="O437" s="169">
        <f>IF(FN_MC!BH351="","*",FN_MC!BH351)</f>
        <v>1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1</v>
      </c>
      <c r="P440" s="90"/>
      <c r="Q440" s="144" t="str">
        <f>IF($A$2=1,IF(FN_MC!BJ354="","*",FN_MC!BJ354),IF(FN_MC!BK354="","*",FN_MC!BK354))</f>
        <v>Intervalo das 08:38h as 11:08h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IF(FN_MC!B357="","*",FN_MC!B357)</f>
        <v>46044</v>
      </c>
      <c r="B443" s="98" t="str">
        <f>IF(FN_MC!X357="","*",FN_MC!X357)</f>
        <v>Oportunidade</v>
      </c>
      <c r="C443" s="99" t="str">
        <f>IF(FN_MC!S357="","*",FN_MC!S357)</f>
        <v>FERRONORTE</v>
      </c>
      <c r="D443" s="99" t="str">
        <f>IF(FN_MC!T357="","*",FN_MC!T357)</f>
        <v>TMI-TCS</v>
      </c>
      <c r="E443" s="99" t="str">
        <f>IF(FN_MC!D357="","*",FN_MC!D357)</f>
        <v>W50</v>
      </c>
      <c r="F443" s="99" t="str">
        <f>IF(FN_MC!H357="","*",FN_MC!H357)</f>
        <v>TCS</v>
      </c>
      <c r="G443" s="99" t="str">
        <f>IF(FN_MC!M357="","*",FN_MC!M357)</f>
        <v>TVI-TJA</v>
      </c>
      <c r="H443" s="149">
        <f>IF(FN_MC!K357="","*",FN_MC!K357)</f>
        <v>249.5</v>
      </c>
      <c r="I443" s="131">
        <f>IF(FN_MC!O357="","*",FN_MC!O357)</f>
        <v>0.35416666666666669</v>
      </c>
      <c r="J443" s="131">
        <f>IF(FN_MC!P357="","*",FN_MC!P357)</f>
        <v>0.125</v>
      </c>
      <c r="K443" s="140" t="str">
        <f>IF(FN_MC!AK357="","*",FN_MC!AK357)</f>
        <v>TCS</v>
      </c>
      <c r="L443" s="140" t="str">
        <f>IF(FN_MC!AM357="","*",FN_MC!AM357)</f>
        <v>TVI-TJA</v>
      </c>
      <c r="M443" s="140">
        <f>IF(FN_MC!AP357="","*",FN_MC!AP357)</f>
        <v>249.5</v>
      </c>
      <c r="N443" s="140" t="str">
        <f>IF(FN_MC!AM357="","*",FN_MC!AM357)</f>
        <v>TVI-TJA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Oportunidade</v>
      </c>
      <c r="C447" s="99" t="str">
        <f>IF(FN_MC!S361="","*",FN_MC!S361)</f>
        <v>FERRONORTE</v>
      </c>
      <c r="D447" s="99" t="str">
        <f>IF(FN_MC!T361="","*",FN_MC!T361)</f>
        <v>TMI-TCS</v>
      </c>
      <c r="E447" s="99" t="str">
        <f>IF(FN_MC!D361="","*",FN_MC!D361)</f>
        <v>V66</v>
      </c>
      <c r="F447" s="99" t="str">
        <f>IF(FN_MC!H361="","*",FN_MC!H361)</f>
        <v>TID</v>
      </c>
      <c r="G447" s="99" t="str">
        <f>IF(FN_MC!M361="","*",FN_MC!M361)</f>
        <v>TCE-TID</v>
      </c>
      <c r="H447" s="149">
        <f>IF(FN_MC!K361="","*",FN_MC!K361)</f>
        <v>171.11500000000001</v>
      </c>
      <c r="I447" s="131">
        <f>IF(FN_MC!O361="","*",FN_MC!O361)</f>
        <v>0.39583333333333331</v>
      </c>
      <c r="J447" s="131">
        <f>IF(FN_MC!P361="","*",FN_MC!P361)</f>
        <v>0.125</v>
      </c>
      <c r="K447" s="140" t="str">
        <f>IF(FN_MC!AK361="","*",FN_MC!AK361)</f>
        <v>TID</v>
      </c>
      <c r="L447" s="140" t="str">
        <f>IF(FN_MC!AM361="","*",FN_MC!AM361)</f>
        <v>TCE-TID</v>
      </c>
      <c r="M447" s="140">
        <f>IF(FN_MC!AP361="","*",FN_MC!AP361)</f>
        <v>171.11500000000001</v>
      </c>
      <c r="N447" s="140" t="str">
        <f>IF(FN_MC!AM361="","*",FN_MC!AM361)</f>
        <v>TCE-TID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1</v>
      </c>
      <c r="P452" s="90"/>
      <c r="Q452" s="144" t="str">
        <f>IF($A$2=1,IF(FN_MC!BJ366="","*",FN_MC!BJ366),IF(FN_MC!BK366="","*",FN_MC!BK366))</f>
        <v>*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1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1813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2026-01-22T14:45:59Z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