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21" documentId="8_{B6337239-1A00-434D-AAD0-422EA1FEB5AE}" xr6:coauthVersionLast="47" xr6:coauthVersionMax="47" xr10:uidLastSave="{031F957D-8669-496C-96D5-8FE96859F3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M109" i="11"/>
  <c r="M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<sst xmlns="http://schemas.openxmlformats.org/spreadsheetml/2006/main" count="5021" uniqueCount="1321">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</sst>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56" tableBorderDxfId="55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8" activePane="bottomRight" state="frozen"/>
      <selection pane="bottomRight" activeCell="BP26" sqref="BP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978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980</v>
      </c>
      <c r="BN24" s="14" t="s">
        <v>1007</v>
      </c>
      <c r="BO24" s="165" t="s">
        <v>1102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1271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980</v>
      </c>
      <c r="BN25" s="14" t="s">
        <v>1007</v>
      </c>
      <c r="BO25" s="165" t="s">
        <v>1102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1271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1275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1276</v>
      </c>
      <c r="BK28" s="16" t="s">
        <v>1276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1277</v>
      </c>
      <c r="N29" s="217" t="s">
        <v>1278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1279</v>
      </c>
      <c r="W29" s="173" t="s">
        <v>1280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1281</v>
      </c>
      <c r="BK29" s="16" t="s">
        <v>1281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1282</v>
      </c>
      <c r="N30" s="204" t="s">
        <v>1283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1284</v>
      </c>
      <c r="W30" s="173" t="s">
        <v>1285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1286</v>
      </c>
      <c r="BK30" s="16" t="s">
        <v>1286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1287</v>
      </c>
      <c r="W31" s="173" t="s">
        <v>1288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1289</v>
      </c>
      <c r="BK31" s="16" t="s">
        <v>1289</v>
      </c>
      <c r="BL31" s="15"/>
      <c r="BM31" s="14" t="s">
        <v>978</v>
      </c>
      <c r="BN31" s="14" t="s">
        <v>998</v>
      </c>
      <c r="BO31" s="165" t="s">
        <v>1069</v>
      </c>
      <c r="BP31" s="16" t="s">
        <v>1289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853</v>
      </c>
      <c r="E34" s="320">
        <v>14</v>
      </c>
      <c r="F34" s="172" t="s">
        <v>766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609</v>
      </c>
      <c r="J34" s="217">
        <v>98</v>
      </c>
      <c r="K34" s="217">
        <v>615.41999999999996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BASE_MAPA!$E$2:$E$359, BASE_MAPA!$J$2:$J$359), "ERRO")</f>
        <v>ALTO ARAGUAIA - RONDONOPOLIS</v>
      </c>
      <c r="V34" s="198" t="s">
        <v>1250</v>
      </c>
      <c r="W34" s="173" t="s">
        <v>1251</v>
      </c>
      <c r="X34" s="218" t="s">
        <v>957</v>
      </c>
      <c r="Y34" s="158"/>
      <c r="Z34" s="158" t="s">
        <v>958</v>
      </c>
      <c r="AA34" s="83" t="s">
        <v>609</v>
      </c>
      <c r="AB34" s="70" t="s">
        <v>609</v>
      </c>
      <c r="AC34" s="70" t="s">
        <v>609</v>
      </c>
      <c r="AD34" s="17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84" t="str">
        <f>IF(BS_CONTROLE[[#This Row],[Local - Partida]]=0, "-", BS_CONTROLE[[#This Row],[Local - Partida]])</f>
        <v>TIQ1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TIQ</v>
      </c>
      <c r="AN34" s="284" t="str">
        <f>IF(BS_CONTROLE[[#This Row],[SB]]=0, "-", BS_CONTROLE[[#This Row],[SB]])</f>
        <v>TIQ1</v>
      </c>
      <c r="AO34" s="285">
        <f>IF(BS_CONTROLE[[#This Row],[SUB]]=0, "-", BS_CONTROLE[[#This Row],[SUB]])</f>
        <v>98</v>
      </c>
      <c r="AP34" s="286">
        <f>IF(BS_CONTROLE[[#This Row],[KM - Inicio]]=0, "-", BS_CONTROLE[[#This Row],[KM - Inicio]])</f>
        <v>615.41999999999996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BASE_MAPA!$E$2:$E$359, BASE_MAPA!$J$2:$J$359), "ERRO")</f>
        <v>ALTO ARAGUAIA - RONDONOPOLIS</v>
      </c>
      <c r="BF34" s="287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837</v>
      </c>
      <c r="E35" s="320" t="s">
        <v>1290</v>
      </c>
      <c r="F35" s="172" t="s">
        <v>785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597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BASE_MAPA!$E$2:$E$359, BASE_MAPA!$J$2:$J$359), "ERRO")</f>
        <v>MARCO INICIAL - ALTO ARAGUAIA</v>
      </c>
      <c r="V35" s="198" t="s">
        <v>1260</v>
      </c>
      <c r="W35" s="173" t="s">
        <v>1291</v>
      </c>
      <c r="X35" s="218" t="s">
        <v>957</v>
      </c>
      <c r="Y35" s="158"/>
      <c r="Z35" s="158" t="s">
        <v>953</v>
      </c>
      <c r="AA35" s="83" t="s">
        <v>1292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609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84" t="str">
        <f>IF(BS_CONTROLE[[#This Row],[Local - Partida]]=0, "-", BS_CONTROLE[[#This Row],[Local - Partida]])</f>
        <v>TAG</v>
      </c>
      <c r="AL35" s="284" t="str">
        <f>IF(BS_CONTROLE[[#This Row],[Local - Encerramento]]=0, "-", BS_CONTROLE[[#This Row],[Local - Encerramento]])</f>
        <v>TAG</v>
      </c>
      <c r="AM35" s="284" t="str">
        <f>IF(BS_CONTROLE[[#This Row],[Entre - Estações]]=0, "-", BS_CONTROLE[[#This Row],[Entre - Estações]])</f>
        <v>TGR</v>
      </c>
      <c r="AN35" s="284" t="str">
        <f>IF(BS_CONTROLE[[#This Row],[SB]]=0, "-", BS_CONTROLE[[#This Row],[SB]])</f>
        <v>TGR2</v>
      </c>
      <c r="AO35" s="285">
        <f>IF(BS_CONTROLE[[#This Row],[SUB]]=0, "-", BS_CONTROLE[[#This Row],[SUB]])</f>
        <v>74</v>
      </c>
      <c r="AP35" s="286">
        <f>IF(BS_CONTROLE[[#This Row],[KM - Inicio]]=0, "-", BS_CONTROLE[[#This Row],[KM - Inicio]])</f>
        <v>501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BASE_MAPA!$E$2:$E$359, BASE_MAPA!$J$2:$J$359), "ERRO")</f>
        <v>MARCO INICIAL - ALTO ARAGUAIA</v>
      </c>
      <c r="BF35" s="287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1293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705</v>
      </c>
      <c r="E39" s="320">
        <v>313</v>
      </c>
      <c r="F39" s="172" t="s">
        <v>631</v>
      </c>
      <c r="G39" s="9" t="str">
        <f>IF(D39="","*",VLOOKUP(F39,BS_ATIVIDADE[#All],3,FALSE))</f>
        <v>DETECÇÃO</v>
      </c>
      <c r="H39" s="173" t="s">
        <v>1294</v>
      </c>
      <c r="I39" s="173" t="s">
        <v>228</v>
      </c>
      <c r="J39" s="217">
        <v>74</v>
      </c>
      <c r="K39" s="217">
        <v>290</v>
      </c>
      <c r="L39" s="83" t="s">
        <v>609</v>
      </c>
      <c r="M39" s="217" t="s">
        <v>1295</v>
      </c>
      <c r="N39" s="217" t="s">
        <v>1296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1228</v>
      </c>
      <c r="W39" s="173" t="s">
        <v>1254</v>
      </c>
      <c r="X39" s="218" t="s">
        <v>952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 xml:space="preserve">TCS2 </v>
      </c>
      <c r="AL39" s="284" t="str">
        <f>IF(BS_CONTROLE[[#This Row],[Local - Encerramento]]=0, "-", BS_CONTROLE[[#This Row],[Local - Encerramento]])</f>
        <v>TIN</v>
      </c>
      <c r="AM39" s="284" t="str">
        <f>IF(BS_CONTROLE[[#This Row],[Entre - Estações]]=0, "-", BS_CONTROLE[[#This Row],[Entre - Estações]])</f>
        <v>TCS-TMI</v>
      </c>
      <c r="AN39" s="284" t="str">
        <f>IF(BS_CONTROLE[[#This Row],[SB]]=0, "-", BS_CONTROLE[[#This Row],[SB]])</f>
        <v>TCSTMI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290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828</v>
      </c>
      <c r="E40" s="320">
        <v>274</v>
      </c>
      <c r="F40" s="172" t="s">
        <v>732</v>
      </c>
      <c r="G40" s="9" t="str">
        <f>IF(D40="","*",VLOOKUP(F40,BS_ATIVIDADE[#All],3,FALSE))</f>
        <v>MODERNIZAÇÃO</v>
      </c>
      <c r="H40" s="173" t="s">
        <v>266</v>
      </c>
      <c r="I40" s="173" t="s">
        <v>266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1297</v>
      </c>
      <c r="W40" s="173" t="s">
        <v>1298</v>
      </c>
      <c r="X40" s="218" t="s">
        <v>957</v>
      </c>
      <c r="Y40" s="158"/>
      <c r="Z40" s="158" t="s">
        <v>958</v>
      </c>
      <c r="AA40" s="83" t="s">
        <v>1299</v>
      </c>
      <c r="AB40" s="70" t="s">
        <v>948</v>
      </c>
      <c r="AC40" s="70" t="s">
        <v>609</v>
      </c>
      <c r="AD40" s="173">
        <v>0.29166666666666669</v>
      </c>
      <c r="AE40" s="83">
        <v>7671</v>
      </c>
      <c r="AF40" s="83">
        <v>9322</v>
      </c>
      <c r="AG40" s="83" t="s">
        <v>609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84" t="str">
        <f>IF(BS_CONTROLE[[#This Row],[Local - Partida]]=0, "-", BS_CONTROLE[[#This Row],[Local - Partida]])</f>
        <v>TCS2</v>
      </c>
      <c r="AL40" s="284" t="str">
        <f>IF(BS_CONTROLE[[#This Row],[Local - Encerramento]]=0, "-", BS_CONTROLE[[#This Row],[Local - Encerramento]])</f>
        <v>TCS2</v>
      </c>
      <c r="AM40" s="284" t="str">
        <f>IF(BS_CONTROLE[[#This Row],[Entre - Estações]]=0, "-", BS_CONTROLE[[#This Row],[Entre - Estações]])</f>
        <v>TJA-TCS</v>
      </c>
      <c r="AN40" s="284" t="str">
        <f>IF(BS_CONTROLE[[#This Row],[SB]]=0, "-", BS_CONTROLE[[#This Row],[SB]])</f>
        <v>TJA277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273</v>
      </c>
      <c r="AQ40" s="286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24">
        <v>324</v>
      </c>
      <c r="F41" s="172" t="s">
        <v>715</v>
      </c>
      <c r="G41" s="9" t="str">
        <f>IF(D41="","*",VLOOKUP(F41,BS_ATIVIDADE[#All],3,FALSE))</f>
        <v>MECANIZAÇÃO - SOCADORA</v>
      </c>
      <c r="H41" s="173" t="s">
        <v>250</v>
      </c>
      <c r="I41" s="173" t="s">
        <v>250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TID2</v>
      </c>
      <c r="AL41" s="284" t="str">
        <f>IF(BS_CONTROLE[[#This Row],[Local - Encerramento]]=0, "-", BS_CONTROLE[[#This Row],[Local - Encerramento]])</f>
        <v>TID2</v>
      </c>
      <c r="AM41" s="284" t="str">
        <f>IF(BS_CONTROLE[[#This Row],[Entre - Estações]]=0, "-", BS_CONTROLE[[#This Row],[Entre - Estações]])</f>
        <v>TID-TVI</v>
      </c>
      <c r="AN41" s="284" t="str">
        <f>IF(BS_CONTROLE[[#This Row],[SB]]=0, "-", BS_CONTROLE[[#This Row],[SB]])</f>
        <v>TID201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200</v>
      </c>
      <c r="AQ41" s="286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1300</v>
      </c>
      <c r="BK41" s="16" t="s">
        <v>1300</v>
      </c>
      <c r="BL41" s="15"/>
      <c r="BM41" s="14" t="s">
        <v>974</v>
      </c>
      <c r="BN41" s="14" t="s">
        <v>1004</v>
      </c>
      <c r="BO41" s="165" t="s">
        <v>1093</v>
      </c>
      <c r="BP41" s="16" t="s">
        <v>1300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889</v>
      </c>
      <c r="E42" s="320">
        <v>326</v>
      </c>
      <c r="F42" s="172" t="s">
        <v>792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609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1232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609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84" t="str">
        <f>IF(BS_CONTROLE[[#This Row],[Local - Partida]]=0, "-", BS_CONTROLE[[#This Row],[Local - Partida]])</f>
        <v>TQIK73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TQI-TSP</v>
      </c>
      <c r="AN42" s="284" t="str">
        <f>IF(BS_CONTROLE[[#This Row],[SB]]=0, "-", BS_CONTROLE[[#This Row],[SB]])</f>
        <v>TQIK73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64.563999999999993</v>
      </c>
      <c r="AQ42" s="286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24">
        <v>313</v>
      </c>
      <c r="F43" s="172" t="s">
        <v>611</v>
      </c>
      <c r="G43" s="9" t="str">
        <f>IF(D43="","*",VLOOKUP(F43,BS_ATIVIDADE[#All],3,FALSE))</f>
        <v>CAMINHÂO - SOLDA</v>
      </c>
      <c r="H43" s="173" t="s">
        <v>470</v>
      </c>
      <c r="I43" s="173" t="s">
        <v>470</v>
      </c>
      <c r="J43" s="217">
        <v>78</v>
      </c>
      <c r="K43" s="217">
        <v>251</v>
      </c>
      <c r="L43" s="83">
        <v>244</v>
      </c>
      <c r="M43" s="217" t="s">
        <v>1277</v>
      </c>
      <c r="N43" s="217" t="s">
        <v>1278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BASE_MAPA!$E$2:$E$359, BASE_MAPA!$J$2:$J$359), "ERRO")</f>
        <v>ITIRAPINA - BAURU</v>
      </c>
      <c r="V43" s="198" t="s">
        <v>1271</v>
      </c>
      <c r="W43" s="173" t="s">
        <v>1223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84" t="str">
        <f>IF(BS_CONTROLE[[#This Row],[Local - Partida]]=0, "-", BS_CONTROLE[[#This Row],[Local - Partida]])</f>
        <v>ZDK1</v>
      </c>
      <c r="AL43" s="284" t="str">
        <f>IF(BS_CONTROLE[[#This Row],[Local - Encerramento]]=0, "-", BS_CONTROLE[[#This Row],[Local - Encerramento]])</f>
        <v>ZDK1</v>
      </c>
      <c r="AM43" s="284" t="str">
        <f>IF(BS_CONTROLE[[#This Row],[Entre - Estações]]=0, "-", BS_CONTROLE[[#This Row],[Entre - Estações]])</f>
        <v>ZDK-ZVT</v>
      </c>
      <c r="AN43" s="284" t="str">
        <f>IF(BS_CONTROLE[[#This Row],[SB]]=0, "-", BS_CONTROLE[[#This Row],[SB]])</f>
        <v>ZDK1/ZDKZVT</v>
      </c>
      <c r="AO43" s="285">
        <f>IF(BS_CONTROLE[[#This Row],[SUB]]=0, "-", BS_CONTROLE[[#This Row],[SUB]])</f>
        <v>78</v>
      </c>
      <c r="AP43" s="286">
        <f>IF(BS_CONTROLE[[#This Row],[KM - Inicio]]=0, "-", BS_CONTROLE[[#This Row],[KM - Inicio]])</f>
        <v>251</v>
      </c>
      <c r="AQ43" s="286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BASE_MAPA!$E$2:$E$359, BASE_MAPA!$J$2:$J$359), "ERRO")</f>
        <v>ITIRAPINA - BAURU</v>
      </c>
      <c r="BF43" s="287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846</v>
      </c>
      <c r="E44" s="320">
        <v>359</v>
      </c>
      <c r="F44" s="172" t="s">
        <v>753</v>
      </c>
      <c r="G44" s="9" t="str">
        <f>IF(D44="","*",VLOOKUP(F44,BS_ATIVIDADE[#All],3,FALSE))</f>
        <v>OUTROS</v>
      </c>
      <c r="H44" s="173" t="s">
        <v>307</v>
      </c>
      <c r="I44" s="173" t="s">
        <v>337</v>
      </c>
      <c r="J44" s="217">
        <v>103</v>
      </c>
      <c r="K44" s="217">
        <v>1882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BASE_MAPA!$E$2:$E$359, BASE_MAPA!$J$2:$J$359), "ERRO")</f>
        <v>OURO VERDE - LIGAÇÃO</v>
      </c>
      <c r="V44" s="198" t="s">
        <v>1279</v>
      </c>
      <c r="W44" s="173" t="s">
        <v>1280</v>
      </c>
      <c r="X44" s="218" t="s">
        <v>957</v>
      </c>
      <c r="Y44" s="158"/>
      <c r="Z44" s="158" t="s">
        <v>953</v>
      </c>
      <c r="AA44" s="83">
        <v>1</v>
      </c>
      <c r="AB44" s="70" t="s">
        <v>948</v>
      </c>
      <c r="AC44" s="70" t="s">
        <v>943</v>
      </c>
      <c r="AD44" s="173">
        <v>0.33333333333333331</v>
      </c>
      <c r="AE44" s="83">
        <v>6251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PSG</v>
      </c>
      <c r="AL44" s="284" t="str">
        <f>IF(BS_CONTROLE[[#This Row],[Local - Encerramento]]=0, "-", BS_CONTROLE[[#This Row],[Local - Encerramento]])</f>
        <v>PPR</v>
      </c>
      <c r="AM44" s="284" t="str">
        <f>IF(BS_CONTROLE[[#This Row],[Entre - Estações]]=0, "-", BS_CONTROLE[[#This Row],[Entre - Estações]])</f>
        <v>POA-PAM</v>
      </c>
      <c r="AN44" s="284" t="str">
        <f>IF(BS_CONTROLE[[#This Row],[SB]]=0, "-", BS_CONTROLE[[#This Row],[SB]])</f>
        <v>POAPAM</v>
      </c>
      <c r="AO44" s="285">
        <f>IF(BS_CONTROLE[[#This Row],[SUB]]=0, "-", BS_CONTROLE[[#This Row],[SUB]])</f>
        <v>103</v>
      </c>
      <c r="AP44" s="286">
        <f>IF(BS_CONTROLE[[#This Row],[KM - Inicio]]=0, "-", BS_CONTROLE[[#This Row],[KM - Inicio]])</f>
        <v>1882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BASE_MAPA!$E$2:$E$359, BASE_MAPA!$J$2:$J$359), "ERRO")</f>
        <v>OURO VERDE - LIGAÇÃO</v>
      </c>
      <c r="BF44" s="287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1301</v>
      </c>
      <c r="D5" s="353"/>
      <c r="E5" s="353"/>
      <c r="F5" s="353"/>
      <c r="G5" s="353"/>
      <c r="H5" s="353"/>
      <c r="I5" s="353"/>
      <c r="J5" s="354"/>
      <c r="K5" s="355" t="s">
        <v>1302</v>
      </c>
      <c r="L5" s="356"/>
      <c r="M5" s="356"/>
      <c r="N5" s="356"/>
      <c r="O5" s="357" t="s">
        <v>1303</v>
      </c>
      <c r="P5" s="358"/>
      <c r="Q5" s="359"/>
    </row>
    <row r="6" spans="1:17" s="93" customFormat="1" ht="15.75" customHeight="1">
      <c r="A6" s="87" t="s">
        <v>1304</v>
      </c>
      <c r="B6" s="94" t="s">
        <v>1305</v>
      </c>
      <c r="C6" s="95" t="s">
        <v>1164</v>
      </c>
      <c r="D6" s="96" t="s">
        <v>1165</v>
      </c>
      <c r="E6" s="95" t="s">
        <v>1306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1307</v>
      </c>
      <c r="M6" s="139" t="s">
        <v>628</v>
      </c>
      <c r="N6" s="140" t="s">
        <v>1159</v>
      </c>
      <c r="O6" s="246" t="s">
        <v>1202</v>
      </c>
      <c r="P6" s="157"/>
      <c r="Q6" s="193" t="s">
        <v>1308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1309</v>
      </c>
      <c r="W1" s="365"/>
      <c r="X1" s="365"/>
      <c r="Y1" s="104"/>
    </row>
    <row r="2" spans="1:25" s="100" customFormat="1" ht="11.25" customHeight="1">
      <c r="A2" s="105" t="s">
        <v>1310</v>
      </c>
      <c r="B2" s="105" t="s">
        <v>1305</v>
      </c>
      <c r="C2" s="105" t="s">
        <v>605</v>
      </c>
      <c r="D2" s="106" t="s">
        <v>1164</v>
      </c>
      <c r="E2" s="106" t="s">
        <v>1165</v>
      </c>
      <c r="F2" s="106" t="s">
        <v>1304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1311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6">
        <f>IF(FN_MC!K34="","*",FN_MC!K34)</f>
        <v>615.41999999999996</v>
      </c>
      <c r="O32" s="296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6">
        <f>IF(FN_MC!K35="","*",FN_MC!K35)</f>
        <v>501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6">
        <f>IF(FN_MC!K39="","*",FN_MC!K39)</f>
        <v>290</v>
      </c>
      <c r="O37" s="296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6">
        <f>IF(FN_MC!K40="","*",FN_MC!K40)</f>
        <v>273</v>
      </c>
      <c r="O38" s="296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6">
        <f>IF(FN_MC!K41="","*",FN_MC!K41)</f>
        <v>200</v>
      </c>
      <c r="O39" s="296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6">
        <f>IF(FN_MC!K42="","*",FN_MC!K42)</f>
        <v>64.563999999999993</v>
      </c>
      <c r="O40" s="296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6">
        <f>IF(FN_MC!K43="","*",FN_MC!K43)</f>
        <v>251</v>
      </c>
      <c r="O41" s="296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6">
        <f>IF(FN_MC!K44="","*",FN_MC!K44)</f>
        <v>1882</v>
      </c>
      <c r="O42" s="296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1313</v>
      </c>
      <c r="C2" s="95" t="s">
        <v>1149</v>
      </c>
      <c r="D2" s="95" t="s">
        <v>1151</v>
      </c>
      <c r="E2" s="95" t="s">
        <v>1314</v>
      </c>
      <c r="F2" s="95" t="s">
        <v>1315</v>
      </c>
      <c r="G2" s="95" t="s">
        <v>1316</v>
      </c>
      <c r="H2" s="95" t="s">
        <v>1317</v>
      </c>
      <c r="I2" s="95" t="s">
        <v>1318</v>
      </c>
      <c r="J2" s="95" t="s">
        <v>1319</v>
      </c>
      <c r="K2" s="131" t="s">
        <v>1320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*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2025-12-02T19:24:45Z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