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012" documentId="8_{B6337239-1A00-434D-AAD0-422EA1FEB5AE}" xr6:coauthVersionLast="47" xr6:coauthVersionMax="47" xr10:uidLastSave="{AB882B3A-F88F-4651-9E70-958944080B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L289" i="16"/>
  <c r="R284" i="1"/>
  <c r="R289" i="16" s="1"/>
  <c r="S284" i="1" a="1"/>
  <c r="S284" i="1" s="1"/>
  <c r="D289" i="16" s="1"/>
  <c r="T284" i="1" a="1"/>
  <c r="T284" i="1" s="1"/>
  <c r="E289" i="16" s="1"/>
  <c r="AI284" i="1"/>
  <c r="BB284" i="1" s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K293" i="16"/>
  <c r="L293" i="16"/>
  <c r="R288" i="1"/>
  <c r="S288" i="1" a="1"/>
  <c r="S288" i="1" s="1"/>
  <c r="D293" i="16" s="1"/>
  <c r="T288" i="1" a="1"/>
  <c r="T288" i="1" s="1"/>
  <c r="E293" i="16" s="1"/>
  <c r="AI288" i="1"/>
  <c r="BB288" i="1" s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88" i="1" l="1"/>
  <c r="AJ284" i="1"/>
  <c r="BB59" i="1"/>
  <c r="AJ55" i="1"/>
  <c r="BB63" i="1"/>
  <c r="AJ282" i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<sst xmlns="http://schemas.openxmlformats.org/spreadsheetml/2006/main" count="7226" uniqueCount="1844">
  <si>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</si>
  <si>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</si>
  <si>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</si>
  <si>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</si>
  <si>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</si>
  <si>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</si>
  <si>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</si>
  <si>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</si>
  <si>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</si>
  <si>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</si>
  <si>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</si>
  <si>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</si>
  <si>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</si>
  <si>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</si>
  <si>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</si>
  <si>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</si>
  <si>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</si>
  <si>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</si>
  <si>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</si>
  <si>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</si>
  <si>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</si>
  <si>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</si>
  <si>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</si>
  <si>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</si>
  <si>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</si>
  <si>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</si>
  <si>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</si>
  <si>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</si>
  <si>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</si>
  <si>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</si>
  <si>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</si>
  <si>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</si>
  <si>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</si>
  <si>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</si>
  <si>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</si>
  <si>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</si>
  <si>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</si>
  <si>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</si>
  <si>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</si>
  <si>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</si>
  <si>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</si>
  <si>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</si>
  <si>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</si>
  <si>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</si>
  <si>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</si>
  <si>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</si>
  <si>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</si>
  <si>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</si>
  <si>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</si>
  <si>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</si>
  <si>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</si>
  <si>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</si>
  <si>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</si>
  <si>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</si>
  <si>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</si>
  <si>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</si>
  <si>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</si>
  <si>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</si>
  <si>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</si>
  <si>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</si>
  <si>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</si>
  <si>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</si>
  <si>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</si>
  <si>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</si>
  <si>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</si>
  <si>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</si>
  <si>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</si>
  <si>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</si>
  <si>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</si>
  <si>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</si>
  <si>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</si>
  <si>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</si>
  <si>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</si>
  <si>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</si>
  <si>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</si>
  <si>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</si>
  <si>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</si>
  <si>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</si>
  <si>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</si>
  <si>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</si>
  <si>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</si>
  <si>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</si>
  <si>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</si>
  <si>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</si>
  <si>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</si>
  <si>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</si>
  <si>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</si>
  <si>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</si>
  <si>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</si>
  <si>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</si>
  <si>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</si>
  <si>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</si>
  <si>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</si>
  <si>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</si>
  <si>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</si>
  <si>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</si>
  <si>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</si>
  <si>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</si>
  <si>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</si>
  <si>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</si>
  <si>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</si>
  <si>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</si>
  <si>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</si>
  <si>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</si>
  <si>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</si>
  <si>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</si>
  <si>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</si>
  <si>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</si>
  <si>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</si>
  <si>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</si>
  <si>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</si>
  <si>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</si>
  <si>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</si>
  <si>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</si>
  <si>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</si>
  <si>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</si>
  <si>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</si>
  <si>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</si>
  <si>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</si>
  <si>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</si>
  <si>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</si>
  <si>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</si>
  <si>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</si>
  <si>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</si>
  <si>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</si>
  <si>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</si>
  <si>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</si>
  <si>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</si>
  <si>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</si>
  <si>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</si>
  <si>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</si>
  <si>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</si>
  <si>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</si>
  <si>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</si>
  <si>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</si>
  <si>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</si>
  <si>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</si>
  <si>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</si>
  <si>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</si>
  <si>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</si>
  <si>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</si>
  <si>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</si>
  <si>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</si>
  <si>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</si>
  <si>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</si>
  <si>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</si>
  <si>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</si>
  <si>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</si>
  <si>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</si>
  <si>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</si>
  <si>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</si>
  <si>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</si>
  <si>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</si>
  <si>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</si>
  <si>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</si>
  <si>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</si>
  <si>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</si>
  <si>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</si>
  <si>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</si>
  <si>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</si>
  <si>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</si>
  <si>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</si>
  <si>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</si>
  <si>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</si>
  <si>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</si>
  <si>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</si>
  <si>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</si>
  <si>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</si>
  <si>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</si>
  <si>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</si>
  <si>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</si>
  <si>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</si>
  <si>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</si>
  <si>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</si>
  <si>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</si>
  <si>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</si>
  <si>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</si>
  <si>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</si>
  <si>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</si>
  <si>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</si>
  <si>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</si>
  <si>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</si>
  <si>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</si>
  <si>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</si>
  <si>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</si>
  <si>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</si>
  <si>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</si>
  <si>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</si>
  <si>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</si>
  <si>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</si>
  <si>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</si>
  <si>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</si>
  <si>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</si>
  <si>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</si>
  <si>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</si>
  <si>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</si>
  <si>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</si>
  <si>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</si>
  <si>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</si>
  <si>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</si>
  <si>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</si>
  <si>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</si>
  <si>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</si>
  <si>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</si>
  <si>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</si>
  <si>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</si>
  <si>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</si>
  <si>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</si>
  <si>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</si>
  <si>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</si>
  <si>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</si>
  <si>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</si>
  <si>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</si>
  <si>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</si>
  <si>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</si>
  <si>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</si>
  <si>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</si>
  <si>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</si>
  <si>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</si>
  <si>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</si>
  <si>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</si>
  <si>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</si>
  <si>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</si>
  <si>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</si>
  <si>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</si>
  <si>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</si>
  <si>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</si>
  <si>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</si>
  <si>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</si>
  <si>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</si>
  <si>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</si>
  <si>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</si>
  <si>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</si>
  <si>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</si>
  <si>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</si>
  <si>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</si>
  <si>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</si>
  <si>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</si>
  <si>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</si>
  <si>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</si>
  <si>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</si>
  <si>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</si>
  <si>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</si>
  <si>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</si>
  <si>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</si>
  <si>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</si>
  <si>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</si>
  <si>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</si>
  <si>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</si>
  <si>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</si>
  <si>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</si>
  <si>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</si>
  <si>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</si>
  <si>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</si>
  <si>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</si>
  <si>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</si>
  <si>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</si>
  <si>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</si>
  <si>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</si>
  <si>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</si>
  <si>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</si>
  <si>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</si>
  <si>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</si>
  <si>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</si>
  <si>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</si>
  <si>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</si>
  <si>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</si>
  <si>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</si>
  <si>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</si>
  <si>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</si>
  <si>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</si>
  <si>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</si>
  <si>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</si>
  <si>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</si>
  <si>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</si>
  <si>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</si>
  <si>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</si>
  <si>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</si>
  <si>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</si>
  <si>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</si>
  <si>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</si>
  <si>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</si>
  <si>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</si>
  <si>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</si>
  <si>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</si>
  <si>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</si>
  <si>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</si>
  <si>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</si>
  <si>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</si>
  <si>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</si>
  <si>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</si>
  <si>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</si>
  <si>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</si>
  <si>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</si>
  <si>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</si>
  <si>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</si>
  <si>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</si>
  <si>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</si>
  <si>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</si>
  <si>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</si>
  <si>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</si>
  <si>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</si>
  <si>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</si>
  <si>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</si>
  <si>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</si>
  <si>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</si>
  <si>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</si>
  <si>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</si>
  <si>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</si>
  <si>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</si>
  <si>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</si>
  <si>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</si>
  <si>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</si>
  <si>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</si>
  <si>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</si>
  <si>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</si>
  <si>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</si>
  <si>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</si>
  <si>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</si>
  <si>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</si>
  <si>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</si>
  <si>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</si>
  <si>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</si>
  <si>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</si>
  <si>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</si>
  <si>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</si>
  <si>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</si>
  <si>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</si>
  <si>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</si>
  <si>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</si>
  <si>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</si>
  <si>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</si>
  <si>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</si>
  <si>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</si>
  <si>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</si>
  <si>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</si>
  <si>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</si>
  <si>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</si>
  <si>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</si>
  <si>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</si>
  <si>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</si>
  <si>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</si>
  <si>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</si>
  <si>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</si>
  <si>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</si>
  <si>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</si>
  <si>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</si>
  <si>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</si>
  <si>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</si>
  <si>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</si>
  <si>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</si>
  <si>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</si>
  <si>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</si>
  <si>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</si>
  <si>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</si>
  <si>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</si>
  <si>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</si>
  <si>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</si>
  <si>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</si>
  <si>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</si>
  <si>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</si>
  <si>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</si>
  <si>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</si>
  <si>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</si>
  <si>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</si>
  <si>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</si>
  <si>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</si>
  <si>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</si>
  <si>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</si>
  <si>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</si>
  <si>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</si>
  <si>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</si>
  <si>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</si>
  <si>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</si>
  <si>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</si>
  <si>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</si>
  <si>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</si>
  <si>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</si>
  <si>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</si>
  <si>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</si>
  <si>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</si>
  <si>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</si>
  <si>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</si>
  <si>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</si>
  <si>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</si>
  <si>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</si>
  <si>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</si>
  <si>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</si>
  <si>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</si>
  <si>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</si>
  <si>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</si>
  <si>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</si>
  <si>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</si>
  <si>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</si>
  <si>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</si>
  <si>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</si>
  <si>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</si>
  <si>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</si>
  <si>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</si>
  <si>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</si>
  <si>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</si>
  <si>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</si>
  <si>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</si>
  <si>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</si>
  <si>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</si>
  <si>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</si>
  <si>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</si>
  <si>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</si>
  <si>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</si>
  <si>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</si>
  <si>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</si>
  <si>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</si>
  <si>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</si>
  <si>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</si>
  <si>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</si>
  <si>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</si>
  <si>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</si>
  <si>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</si>
  <si>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</si>
  <si>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</si>
  <si>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</si>
  <si>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</si>
  <si>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</si>
  <si>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</si>
  <si>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</si>
  <si>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</si>
  <si>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</si>
  <si>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</si>
  <si>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</si>
  <si>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</si>
  <si>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</si>
  <si>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</si>
  <si>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</si>
  <si>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</si>
  <si>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</si>
  <si>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</si>
  <si>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</si>
  <si>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</si>
  <si>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</si>
  <si>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</si>
  <si>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</si>
  <si>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</si>
  <si>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</si>
  <si>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</si>
  <si>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</si>
  <si>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</si>
  <si>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</si>
  <si>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</si>
  <si>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</si>
  <si>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</si>
  <si>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</si>
  <si>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</si>
  <si>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</si>
  <si>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</si>
  <si>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</si>
  <si>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</si>
  <si>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</si>
  <si>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</si>
  <si>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</si>
  <si>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</si>
  <si>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</si>
  <si>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</si>
  <si>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</si>
  <si>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</si>
  <si>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</si>
  <si>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</si>
  <si>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</si>
  <si>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</si>
  <si>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</si>
  <si>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</si>
  <si>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</si>
  <si>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</si>
  <si>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</si>
  <si>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</si>
  <si>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</si>
  <si>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</si>
  <si>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</si>
  <si>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</si>
  <si>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</si>
  <si>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</si>
  <si>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</si>
  <si>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</si>
  <si>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</si>
  <si>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</si>
  <si>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</si>
  <si>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</si>
  <si>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</si>
  <si>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</si>
  <si>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</si>
  <si>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</si>
  <si>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</si>
  <si>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</si>
  <si>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</si>
  <si>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</si>
  <si>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</si>
  <si>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</si>
  <si>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</si>
  <si>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</si>
  <si>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</si>
  <si>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</si>
  <si>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</si>
  <si>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</si>
  <si>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</si>
  <si>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</si>
  <si>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</si>
  <si>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</si>
  <si>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</si>
  <si>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</si>
  <si>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</si>
  <si>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</si>
  <si>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</si>
  <si>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</si>
  <si>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</si>
  <si>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</si>
  <si>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</si>
  <si>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</si>
  <si>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</si>
  <si>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</si>
  <si>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</si>
  <si>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</si>
  <si>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</si>
  <si>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</si>
  <si>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</si>
  <si>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</si>
  <si>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</si>
  <si>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</si>
  <si>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</si>
  <si>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</si>
  <si>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</si>
  <si>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</si>
  <si>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</si>
  <si>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</si>
  <si>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</si>
  <si>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</si>
  <si>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</si>
  <si>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</si>
  <si>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</si>
  <si>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</si>
  <si>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</si>
  <si>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</si>
  <si>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</si>
  <si>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</si>
  <si>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</si>
  <si>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</si>
  <si>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</si>
  <si>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</si>
  <si>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</si>
  <si>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</si>
  <si>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</si>
  <si>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</si>
  <si>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</si>
  <si>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</si>
  <si>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</si>
  <si>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</si>
  <si>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</si>
  <si>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</si>
  <si>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</si>
  <si>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</si>
  <si>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</si>
  <si>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</si>
  <si>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</si>
  <si>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</si>
  <si>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</si>
  <si>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</si>
  <si>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</si>
  <si>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</si>
  <si>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</si>
  <si>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</si>
  <si>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</si>
  <si>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</si>
  <si>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</si>
  <si>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</si>
  <si>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</si>
  <si>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</si>
  <si>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</si>
  <si>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</si>
  <si>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</si>
  <si>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</si>
  <si>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</si>
  <si>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</si>
  <si>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</si>
  <si>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</si>
  <si>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</si>
  <si>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</si>
  <si>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</si>
  <si>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</si>
  <si>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</si>
  <si>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</si>
  <si>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</si>
  <si>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</si>
  <si>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</si>
  <si>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</si>
  <si>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</si>
  <si>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</si>
  <si>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</si>
  <si>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</si>
  <si>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</si>
  <si>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</si>
  <si>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</si>
  <si>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</si>
  <si>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</si>
  <si>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</si>
  <si>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</si>
  <si>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</si>
  <si>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</si>
  <si>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</si>
  <si>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</si>
  <si>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</si>
  <si>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</si>
  <si>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</si>
  <si>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</si>
  <si>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</si>
  <si>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</si>
  <si>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</si>
  <si>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</si>
  <si>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</si>
  <si>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</si>
  <si>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</si>
  <si>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</si>
  <si>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</si>
  <si>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</si>
  <si>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</si>
  <si>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</si>
  <si>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</si>
  <si>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</si>
  <si>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</si>
  <si>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</si>
  <si>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</si>
  <si>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</si>
  <si>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</si>
  <si>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</si>
  <si>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</si>
  <si>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</si>
  <si>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</si>
  <si>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</si>
  <si>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</si>
  <si>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</si>
  <si>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</si>
  <si>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</si>
  <si>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</si>
  <si>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</si>
  <si>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</si>
  <si>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</si>
  <si>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</si>
  <si>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</si>
  <si>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</si>
  <si>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</si>
  <si>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</si>
  <si>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</si>
  <si>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</si>
  <si>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</si>
  <si>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</si>
  <si>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</si>
  <si>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</si>
  <si>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</si>
  <si>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</si>
  <si>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</si>
  <si>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</si>
  <si>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</si>
  <si>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</si>
  <si>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</si>
  <si>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</si>
  <si>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</si>
  <si>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</si>
  <si>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</si>
  <si>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</si>
  <si>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</si>
  <si>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</si>
  <si>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</si>
  <si>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</si>
  <si>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</si>
  <si>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</si>
  <si>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</si>
  <si>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</si>
  <si>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</si>
  <si>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</si>
  <si>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</si>
  <si>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</si>
  <si>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</si>
  <si>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</si>
  <si>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</si>
  <si>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</si>
  <si>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</si>
  <si>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</si>
  <si>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</si>
  <si>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</si>
  <si>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</si>
  <si>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</si>
  <si>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</si>
  <si>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</si>
  <si>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</si>
  <si>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</si>
  <si>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</si>
  <si>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</si>
  <si>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</si>
  <si>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</si>
  <si>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</si>
  <si>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</si>
  <si>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</si>
  <si>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</si>
  <si>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</si>
  <si>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</si>
  <si>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</si>
  <si>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</si>
  <si>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</si>
  <si>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</si>
  <si>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</si>
  <si>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</si>
  <si>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</si>
  <si>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</si>
  <si>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</si>
  <si>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</si>
  <si>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</si>
  <si>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</si>
  <si>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</si>
  <si>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</si>
  <si>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</si>
  <si>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</si>
  <si>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</si>
  <si>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</si>
  <si>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</si>
  <si>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</si>
  <si>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</si>
  <si>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</si>
  <si>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</si>
  <si>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</si>
  <si>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</si>
  <si>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</si>
  <si>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</si>
  <si>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</si>
  <si>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</si>
  <si>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</si>
  <si>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</si>
  <si>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</si>
  <si>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</si>
  <si>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</si>
  <si>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</si>
  <si>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</si>
  <si>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</si>
  <si>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</si>
  <si>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</si>
  <si>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</si>
  <si>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</si>
  <si>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</si>
  <si>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</si>
  <si>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</si>
  <si>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</si>
  <si>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</si>
  <si>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</si>
  <si>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</si>
  <si>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</si>
  <si>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</si>
  <si>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</si>
  <si>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</si>
  <si>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</si>
  <si>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</si>
  <si>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</si>
  <si>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</si>
  <si>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</si>
  <si>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</si>
  <si>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</si>
  <si>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</si>
  <si>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</si>
  <si>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</si>
  <si>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</si>
  <si>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</si>
  <si>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</si>
  <si>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</si>
  <si>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</si>
  <si>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</si>
  <si>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</si>
  <si>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</si>
  <si>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</si>
  <si>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</si>
  <si>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</si>
  <si>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</si>
  <si>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</si>
  <si>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</si>
  <si>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</si>
  <si>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</si>
  <si>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</si>
  <si>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</si>
  <si>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</si>
  <si>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</si>
  <si>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</si>
  <si>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</si>
  <si>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</si>
  <si>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</si>
  <si>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</si>
  <si>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</si>
  <si>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</si>
  <si>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</si>
  <si>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</si>
  <si>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</si>
  <si>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</si>
  <si>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</si>
  <si>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</si>
  <si>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</si>
  <si>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</si>
  <si>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</si>
  <si>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</si>
  <si>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</si>
  <si>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</si>
  <si>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</si>
  <si>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</si>
  <si>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</si>
  <si>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</si>
  <si>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</si>
  <si>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</si>
  <si>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</si>
  <si>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</si>
  <si>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</si>
  <si>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</si>
  <si>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</si>
  <si>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</si>
  <si>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</si>
  <si>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</si>
  <si>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</si>
  <si>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</si>
  <si>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</si>
  <si>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</si>
  <si>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</si>
  <si>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</si>
  <si>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</si>
  <si>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</si>
  <si>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</si>
  <si>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</si>
  <si>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</si>
  <si>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</si>
  <si>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</si>
  <si>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</si>
  <si>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</si>
  <si>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</si>
  <si>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</si>
  <si>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</si>
  <si>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</si>
  <si>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</si>
  <si>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</si>
  <si>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</si>
  <si>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</si>
  <si>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</si>
  <si>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</si>
  <si>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</si>
  <si>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</si>
  <si>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</si>
  <si>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</si>
  <si>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</si>
  <si>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</si>
  <si>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</si>
  <si>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</si>
  <si>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</si>
  <si>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</si>
  <si>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</si>
  <si>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</si>
  <si>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</si>
  <si>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</si>
  <si>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</si>
  <si>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</si>
  <si>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</si>
  <si>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</si>
  <si>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</si>
  <si>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</si>
  <si>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</si>
  <si>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</si>
  <si>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</si>
  <si>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</si>
  <si>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</si>
  <si>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</si>
  <si>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</si>
  <si>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</si>
  <si>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</si>
  <si>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</si>
  <si>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</si>
  <si>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</si>
  <si>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</si>
  <si>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</si>
  <si>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</si>
  <si>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</si>
  <si>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</si>
  <si>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</si>
  <si>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</si>
  <si>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</si>
  <si>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</si>
  <si>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</si>
  <si>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</si>
  <si>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</si>
  <si>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</si>
  <si>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</si>
  <si>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</si>
  <si>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</si>
  <si>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</si>
  <si>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</si>
  <si>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</si>
  <si>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</si>
  <si>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</si>
  <si>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</si>
  <si>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</si>
  <si>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</si>
  <si>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</si>
  <si>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</si>
  <si>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</si>
  <si>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</si>
  <si>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</si>
  <si>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</si>
  <si>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</si>
  <si>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</si>
  <si>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</si>
  <si>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</si>
  <si>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</si>
  <si>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</si>
  <si>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</si>
  <si>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</si>
  <si>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</si>
  <si>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</si>
  <si>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</si>
  <si>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</si>
  <si>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</si>
  <si>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</si>
  <si>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</si>
  <si>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</si>
  <si>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</si>
  <si>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</si>
  <si>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</si>
  <si>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</si>
  <si>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</si>
  <si>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</si>
  <si>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</si>
  <si>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</si>
  <si>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</si>
  <si>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</si>
  <si>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</si>
  <si>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</si>
  <si>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</si>
  <si>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</si>
  <si>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</si>
  <si>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</si>
  <si>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</si>
  <si>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</si>
  <si>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</si>
  <si>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</si>
  <si>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</si>
  <si>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</si>
  <si>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</si>
  <si>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</si>
  <si>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</si>
  <si>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</si>
  <si>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</si>
  <si>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</si>
  <si>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</si>
  <si>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</si>
  <si>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</si>
  <si>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</si>
  <si>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</si>
  <si>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</si>
  <si>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</si>
  <si>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</si>
  <si>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</si>
  <si>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</si>
  <si>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</si>
  <si>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</si>
  <si>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</si>
  <si>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</si>
  <si>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</si>
  <si>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</si>
  <si>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</si>
  <si>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</si>
  <si>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</si>
  <si>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</si>
  <si>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</si>
  <si>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</si>
  <si>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</si>
  <si>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</si>
  <si>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</si>
  <si>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</si>
  <si>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</si>
  <si>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</si>
  <si>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</si>
  <si>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</si>
  <si>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</si>
  <si>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</si>
  <si>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</si>
  <si>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</si>
  <si>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</si>
  <si>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</si>
  <si>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</si>
  <si>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</si>
  <si>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</si>
  <si>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</si>
  <si>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</si>
  <si>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</si>
  <si>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</si>
  <si>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</si>
  <si>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</si>
  <si>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</si>
  <si>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</si>
  <si>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</si>
  <si>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</si>
  <si>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</si>
  <si>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</si>
  <si>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</si>
  <si>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</si>
  <si>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</si>
  <si>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</si>
  <si>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</si>
  <si>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</si>
  <si>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</si>
  <si>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</si>
  <si>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</si>
  <si>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</si>
  <si>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</si>
  <si>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</si>
  <si>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</si>
  <si>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</si>
  <si>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</si>
  <si>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</si>
  <si>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</si>
  <si>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</si>
  <si>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</si>
  <si>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</si>
  <si>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</si>
  <si>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</si>
  <si>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</si>
  <si>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</si>
  <si>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</si>
  <si>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</si>
  <si>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</si>
  <si>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</si>
  <si>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</si>
  <si>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</si>
  <si>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</si>
  <si>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</si>
  <si>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</si>
  <si>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</si>
  <si>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</si>
  <si>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</si>
  <si>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</si>
  <si>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</si>
  <si>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</si>
  <si>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</si>
  <si>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</si>
  <si>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</si>
  <si>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</si>
  <si>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</si>
  <si>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</si>
  <si>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</si>
  <si>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</si>
  <si>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</si>
  <si>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</si>
  <si>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</si>
  <si>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</si>
  <si>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</si>
  <si>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</si>
  <si>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</si>
  <si>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</si>
  <si>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</si>
  <si>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</si>
  <si>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</si>
  <si>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</si>
  <si>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</si>
  <si>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</si>
  <si>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</si>
  <si>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</si>
  <si>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</si>
  <si>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</si>
  <si>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</si>
  <si>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</si>
  <si>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</si>
  <si>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</si>
  <si>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</si>
  <si>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</si>
  <si>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</si>
  <si>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</si>
  <si>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</si>
  <si>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</si>
  <si>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</si>
  <si>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</si>
  <si>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</si>
  <si>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</si>
  <si>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</si>
  <si>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</si>
  <si>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</si>
  <si>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</si>
  <si>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</si>
  <si>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</si>
  <si>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</si>
  <si>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</si>
  <si>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</si>
  <si>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</si>
  <si>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</si>
  <si>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</si>
  <si>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</si>
  <si>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</si>
  <si>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</si>
  <si>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</si>
  <si>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</si>
  <si>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</si>
  <si>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</si>
  <si>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</si>
  <si>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</si>
  <si>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</si>
  <si>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</si>
  <si>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</si>
  <si>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</si>
  <si>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</si>
  <si>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</si>
  <si>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</si>
  <si>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</si>
  <si>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</si>
  <si>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</si>
  <si>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</si>
  <si>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</si>
  <si>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</si>
  <si>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</si>
  <si>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</si>
  <si>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</si>
  <si>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</si>
  <si>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</si>
  <si>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</si>
  <si>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</si>
  <si>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</si>
  <si>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</si>
  <si>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</si>
  <si>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</si>
  <si>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</si>
  <si>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</si>
  <si>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</si>
  <si>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</si>
  <si>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</si>
  <si>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</si>
  <si>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</si>
  <si>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</si>
  <si>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</si>
  <si>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</si>
  <si>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</si>
  <si>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</si>
  <si>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</si>
  <si>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</si>
  <si>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</si>
  <si>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</si>
  <si>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</si>
  <si>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</si>
  <si>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</si>
  <si>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</si>
  <si>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</si>
  <si>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</si>
  <si>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</si>
  <si>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</si>
  <si>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</si>
  <si>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</si>
  <si>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</si>
  <si>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</si>
  <si>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</si>
  <si>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</si>
  <si>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</si>
  <si>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</si>
  <si>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</si>
  <si>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</si>
  <si>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</si>
  <si>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</si>
  <si>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</si>
  <si>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</si>
  <si>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</si>
  <si>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</si>
  <si>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</si>
  <si>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</si>
  <si>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</si>
  <si>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</si>
  <si>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</si>
  <si>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</si>
  <si>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</si>
  <si>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</si>
  <si>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</si>
  <si>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</si>
  <si>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</si>
  <si>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</si>
  <si>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</si>
  <si>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</si>
  <si>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</si>
  <si>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</si>
  <si>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</si>
  <si>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</si>
  <si>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</si>
  <si>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</si>
  <si>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</si>
  <si>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</si>
  <si>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</si>
  <si>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</si>
  <si>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</si>
  <si>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</si>
  <si>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</si>
  <si>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</si>
  <si>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</si>
  <si>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</si>
  <si>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</si>
  <si>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</si>
  <si>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</si>
  <si>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</si>
  <si>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</si>
  <si>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</si>
  <si>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</si>
  <si>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</si>
  <si>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</si>
  <si>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</si>
  <si>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</si>
  <si>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</si>
  <si>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</si>
  <si>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</si>
  <si>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</si>
  <si>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</si>
  <si>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</si>
  <si>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</si>
  <si>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</si>
  <si>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</si>
  <si>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</si>
  <si>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</si>
  <si>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</si>
  <si>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</si>
  <si>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</si>
  <si>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</si>
  <si>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</si>
  <si>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</si>
  <si>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</si>
  <si>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</si>
  <si>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</si>
  <si>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</si>
  <si>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</si>
  <si>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</si>
  <si>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</si>
  <si>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</si>
  <si>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</si>
  <si>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</si>
  <si>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</si>
  <si>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</si>
  <si>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</si>
  <si>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</si>
  <si>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</si>
  <si>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</si>
  <si>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</si>
  <si>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</si>
  <si>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</si>
  <si>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</si>
  <si>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</si>
  <si>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</si>
  <si>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</si>
  <si>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</si>
  <si>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</si>
  <si>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</si>
  <si>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</si>
  <si>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</si>
  <si>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</si>
  <si>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</si>
  <si>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</si>
  <si>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</si>
  <si>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</si>
  <si>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</si>
  <si>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</si>
  <si>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</si>
  <si>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</si>
  <si>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</si>
  <si>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</si>
  <si>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</si>
  <si>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</si>
  <si>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</si>
  <si>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</si>
  <si>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</si>
  <si>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</si>
  <si>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</si>
  <si>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</si>
  <si>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</si>
  <si>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</si>
  <si>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</si>
  <si>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</si>
  <si>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</si>
  <si>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</si>
  <si>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</si>
  <si>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</si>
  <si>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</si>
  <si>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</si>
  <si>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</si>
  <si>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</si>
  <si>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</si>
  <si>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</si>
  <si>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</si>
  <si>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</si>
  <si>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</si>
  <si>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</si>
  <si>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</si>
  <si>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</si>
  <si>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</si>
  <si>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</si>
  <si>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</si>
  <si>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</si>
  <si>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</si>
  <si>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</si>
  <si>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</si>
  <si>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</si>
  <si>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</si>
  <si>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</si>
  <si>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</si>
  <si>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</si>
  <si>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</si>
  <si>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</si>
  <si>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</si>
  <si>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</si>
  <si>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</si>
  <si>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</si>
  <si>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</si>
  <si>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</si>
  <si>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</si>
  <si>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</si>
  <si>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</si>
  <si>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</si>
  <si>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</si>
  <si>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</si>
  <si>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</si>
  <si>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</si>
  <si>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</si>
  <si>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</si>
  <si>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</si>
  <si>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</si>
  <si>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</si>
  <si>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</si>
  <si>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</si>
  <si>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</si>
  <si>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</si>
  <si>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</si>
  <si>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</si>
  <si>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</si>
  <si>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</si>
  <si>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</si>
  <si>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</si>
  <si>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</si>
  <si>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</si>
  <si>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</si>
  <si>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</si>
  <si>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</si>
  <si>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</si>
  <si>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</si>
  <si>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</si>
  <si>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</si>
  <si>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</si>
  <si>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</si>
  <si>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</si>
  <si>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</si>
  <si>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</si>
  <si>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</si>
  <si>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</si>
  <si>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</si>
  <si>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</si>
  <si>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</si>
  <si>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</si>
  <si>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</si>
  <si>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</si>
  <si>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</si>
  <si>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</si>
  <si>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</si>
  <si>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</si>
  <si>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</si>
  <si>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</si>
  <si>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</si>
  <si>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</si>
  <si>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</si>
  <si>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</si>
  <si>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</si>
  <si>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</si>
  <si>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</si>
  <si>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</si>
  <si>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</si>
  <si>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</si>
  <si>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</si>
  <si>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</si>
  <si>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</si>
  <si>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</si>
  <si>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</si>
  <si>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</si>
  <si>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</si>
  <si>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</si>
  <si>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</si>
  <si>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</si>
  <si>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</si>
  <si>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</si>
  <si>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</si>
  <si>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</si>
  <si>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</si>
  <si>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</si>
  <si>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</si>
  <si>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</si>
  <si>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</si>
  <si>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</si>
  <si>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</si>
  <si>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</si>
  <si>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</si>
  <si>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</si>
  <si>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</si>
  <si>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</si>
  <si>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</si>
  <si>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</si>
  <si>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</si>
  <si>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</si>
  <si>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</si>
  <si>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</si>
  <si>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</si>
  <si>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</si>
  <si>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</si>
  <si>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</si>
  <si>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</si>
  <si>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</si>
  <si>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</si>
  <si>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</si>
  <si>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</si>
  <si>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</si>
  <si>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</si>
  <si>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</si>
  <si>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</si>
  <si>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</si>
  <si>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</si>
  <si>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</si>
  <si>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</si>
  <si>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</si>
  <si>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</si>
  <si>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</si>
  <si>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</si>
  <si>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</si>
  <si>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</si>
  <si>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</si>
  <si>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</si>
  <si>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</si>
  <si>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</si>
  <si>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</si>
  <si>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</si>
  <si>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</si>
  <si>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</si>
  <si>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</si>
  <si>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</si>
  <si>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</si>
  <si>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</si>
  <si>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</si>
  <si>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</si>
  <si>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</si>
  <si>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</si>
  <si>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</si>
  <si>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</si>
  <si>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</si>
  <si>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</si>
  <si>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</si>
  <si>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</si>
  <si>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</si>
  <si>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</si>
  <si>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</si>
  <si>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</si>
  <si>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</si>
  <si>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</si>
  <si>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</si>
  <si>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</si>
  <si>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</si>
  <si>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</si>
  <si>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</si>
  <si>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</si>
  <si>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</si>
  <si>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</si>
  <si>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</si>
  <si>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</si>
  <si>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</si>
  <si>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</si>
  <si>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</si>
  <si>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</si>
  <si>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</si>
  <si>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</si>
  <si>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</si>
  <si>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</si>
  <si>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</si>
  <si>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</si>
  <si>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</si>
  <si>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</si>
  <si>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</si>
  <si>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</si>
  <si>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</si>
  <si>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</si>
  <si>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</si>
  <si>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</si>
  <si>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</si>
  <si>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</si>
  <si>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</si>
  <si>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</si>
  <si>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</si>
  <si>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</si>
  <si>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</si>
  <si>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</si>
  <si>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</si>
  <si>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</si>
  <si>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</si>
  <si>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</si>
  <si>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</si>
  <si>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</si>
  <si>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</si>
  <si>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</si>
  <si>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</si>
  <si>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</si>
  <si>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</si>
  <si>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</si>
  <si>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</si>
  <si>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</si>
  <si>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</si>
  <si>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</si>
  <si>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</si>
  <si>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</si>
  <si>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</si>
  <si>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</si>
  <si>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</si>
  <si>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</si>
  <si>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</si>
  <si>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</si>
  <si>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</si>
  <si>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</si>
  <si>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</si>
  <si>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</si>
  <si>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</si>
  <si>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</si>
  <si>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</si>
  <si>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</si>
  <si>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</si>
  <si>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</si>
  <si>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</si>
  <si>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</si>
  <si>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</si>
  <si>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</si>
  <si>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</si>
  <si>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</si>
  <si>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</si>
  <si>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</si>
  <si>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</si>
  <si>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</si>
  <si>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</si>
  <si>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</si>
  <si>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</si>
  <si>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</si>
  <si>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</si>
  <si>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</si>
  <si>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</si>
  <si>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</si>
  <si>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</si>
  <si>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</si>
  <si>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</si>
  <si>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</si>
  <si>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</si>
  <si>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</si>
  <si>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</si>
  <si>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</si>
  <si>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</si>
  <si>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</si>
  <si>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</si>
  <si>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</si>
  <si>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</si>
  <si>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</si>
  <si>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</si>
  <si>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</si>
  <si>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</si>
  <si>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</si>
  <si>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</si>
  <si>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</si>
  <si>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</si>
  <si>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</si>
  <si>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</si>
  <si>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</si>
  <si>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</si>
  <si>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</si>
  <si>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</si>
  <si>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</si>
  <si>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</si>
  <si>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</si>
  <si>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</si>
  <si>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</si>
  <si>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</si>
  <si>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</si>
  <si>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</si>
  <si>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</si>
  <si>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</si>
  <si>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</si>
  <si>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</si>
  <si>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</si>
  <si>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</si>
  <si>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</si>
  <si>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</si>
  <si>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</si>
  <si>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</si>
  <si>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</si>
  <si>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</si>
  <si>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</si>
  <si>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</si>
  <si>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</si>
  <si>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</si>
  <si>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</si>
  <si>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</si>
  <si>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</si>
  <si>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</si>
  <si>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</si>
  <si>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</si>
  <si>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</si>
  <si>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</si>
  <si>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</si>
  <si>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</si>
  <si>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</si>
  <si>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</si>
  <si>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</si>
  <si>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</si>
  <si>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</si>
  <si>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</si>
  <si>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</si>
  <si>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</si>
  <si>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</si>
  <si>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</si>
  <si>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</si>
  <si>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</si>
  <si>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</si>
  <si>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</si>
  <si>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</si>
  <si>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</si>
  <si>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</si>
  <si>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</si>
  <si>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</si>
  <si>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</si>
  <si>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</si>
  <si>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</si>
  <si>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</si>
  <si>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</si>
  <si>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</si>
  <si>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</si>
  <si>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</si>
  <si>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</si>
  <si>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</si>
  <si>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</si>
  <si>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</si>
  <si>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</si>
  <si>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</si>
  <si>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</si>
  <si>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</si>
  <si>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</si>
  <si>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</si>
  <si>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</si>
  <si>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</si>
  <si>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</si>
  <si>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</si>
  <si>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</si>
  <si>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</si>
  <si>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</si>
  <si>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</si>
  <si>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</si>
  <si>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</si>
  <si>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</si>
  <si>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</si>
  <si>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</si>
  <si>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</si>
  <si>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</si>
  <si>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</si>
  <si>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</si>
  <si>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</si>
  <si>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</si>
  <si>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</si>
  <si>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</si>
  <si>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</si>
  <si>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</si>
  <si>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</si>
  <si>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</si>
  <si>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</si>
  <si>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</si>
  <si>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</si>
  <si>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</si>
  <si>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</si>
  <si>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</si>
  <si>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</si>
  <si>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</si>
  <si>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</si>
  <si>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</si>
  <si>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</si>
  <si>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</si>
  <si>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</si>
  <si>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</si>
  <si>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</si>
  <si>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</si>
  <si>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</si>
  <si>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</si>
  <si>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</si>
  <si>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</si>
  <si>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</si>
  <si>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</si>
  <si>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</si>
  <si>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</si>
  <si>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</si>
  <si>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</si>
  <si>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</si>
  <si>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</si>
  <si>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</si>
  <si>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</si>
  <si>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</si>
  <si>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</si>
  <si>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</si>
  <si>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</si>
  <si>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</si>
  <si>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</si>
  <si>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</si>
  <si>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</si>
  <si>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</si>
  <si>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</si>
  <si>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</si>
  <si>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</si>
  <si>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</si>
  <si>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</si>
  <si>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</si>
  <si>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</si>
  <si>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</si>
  <si>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</si>
  <si>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</si>
  <si>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</si>
  <si>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</si>
  <si>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</si>
  <si>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</si>
  <si>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</si>
  <si>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</si>
  <si>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</si>
  <si>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</si>
  <si>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</si>
  <si>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</si>
  <si>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</si>
  <si>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</si>
  <si>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</si>
  <si>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</si>
  <si>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</si>
  <si>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</si>
  <si>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</si>
  <si>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</si>
  <si>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</si>
  <si>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</si>
  <si>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</si>
  <si>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</si>
  <si>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</si>
  <si>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</si>
  <si>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</si>
  <si>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</si>
  <si>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</si>
  <si>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</si>
  <si>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</si>
  <si>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</si>
  <si>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</si>
  <si>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</si>
  <si>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</si>
  <si>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</si>
  <si>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</si>
  <si>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</si>
  <si>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</si>
  <si>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</si>
  <si>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</si>
  <si>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</si>
  <si>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</si>
  <si>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</si>
  <si>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</si>
  <si>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</si>
  <si>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</si>
  <si>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</si>
  <si>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</si>
  <si>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</si>
  <si>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</si>
  <si>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</si>
  <si>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</si>
  <si>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</si>
  <si>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</si>
  <si>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</si>
  <si>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</si>
  <si>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</si>
  <si>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</si>
  <si>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</si>
  <si>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</si>
  <si>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</si>
  <si>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</si>
  <si>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</si>
  <si>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</si>
  <si>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</si>
  <si>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</si>
  <si>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</si>
  <si>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</si>
  <si>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</si>
  <si>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</si>
  <si>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</si>
  <si>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</si>
  <si>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</si>
  <si>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TRMSUL</t>
  </si>
  <si>
    <t>N70</t>
  </si>
  <si>
    <t>TOM-TAG</t>
  </si>
  <si>
    <t>TOMTAG</t>
  </si>
  <si>
    <t>Termina abastececimento e desloca pro TAG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</si>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</sst>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69" activePane="topRight" state="frozen"/>
      <selection pane="topRight" activeCell="F286" sqref="F2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 t="s">
        <v>1756</v>
      </c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 t="s">
        <v>1482</v>
      </c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>
        <v>1</v>
      </c>
      <c r="BI267" s="14"/>
      <c r="BJ267" s="14" t="s">
        <v>1766</v>
      </c>
      <c r="BK267" s="14" t="s">
        <v>1766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 t="s">
        <v>1768</v>
      </c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1770</v>
      </c>
      <c r="BK270" s="14" t="s">
        <v>1770</v>
      </c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1771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1772</v>
      </c>
      <c r="BK271" s="14" t="s">
        <v>1773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55</v>
      </c>
      <c r="I272" s="134" t="s">
        <v>55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1774</v>
      </c>
      <c r="BK272" s="14" t="s">
        <v>1775</v>
      </c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1</v>
      </c>
      <c r="BI273" s="14"/>
      <c r="BJ273" s="14" t="s">
        <v>1776</v>
      </c>
      <c r="BK273" s="14" t="s">
        <v>1777</v>
      </c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1778</v>
      </c>
      <c r="X276" s="151" t="s">
        <v>1005</v>
      </c>
      <c r="Y276" s="129"/>
      <c r="Z276" s="129"/>
      <c r="AA276" s="71" t="s">
        <v>1779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1780</v>
      </c>
      <c r="BK276" s="14" t="s">
        <v>1781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8.3333333333333329E-2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1782</v>
      </c>
      <c r="BK278" s="14" t="s">
        <v>1783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</v>
      </c>
      <c r="BR278" s="15">
        <f t="shared" si="29"/>
        <v>1.0583333333333336</v>
      </c>
      <c r="BS278" s="15">
        <f t="shared" si="30"/>
        <v>0.66666666666666663</v>
      </c>
      <c r="BT278" s="231" t="str">
        <f t="shared" si="31"/>
        <v>MecanizaçãoOperação</v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/>
      <c r="N279" s="148"/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640</v>
      </c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846</v>
      </c>
      <c r="E282" s="175">
        <v>320</v>
      </c>
      <c r="F282" s="133" t="s">
        <v>745</v>
      </c>
      <c r="G282" s="8" t="str">
        <f>IF(D282="","*",VLOOKUP(F282,BS_ATIVIDADE[#All],3,FALSE))</f>
        <v>MECANIZAÇÃO - SOCADORA</v>
      </c>
      <c r="H282" s="134" t="s">
        <v>1575</v>
      </c>
      <c r="I282" s="134" t="s">
        <v>255</v>
      </c>
      <c r="J282" s="150">
        <v>98</v>
      </c>
      <c r="K282" s="150">
        <v>660</v>
      </c>
      <c r="L282" s="71">
        <v>665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 t="s">
        <v>1274</v>
      </c>
      <c r="W282" s="134" t="s">
        <v>1275</v>
      </c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TBS1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660</v>
      </c>
      <c r="AQ282" s="168">
        <f>IF(BS_CONTROLE[[#This Row],[KM - Fim]]=0, "-", BS_CONTROLE[[#This Row],[KM - Fim]])</f>
        <v>665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Antonioni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>BRUNO (TF-525)46077</v>
      </c>
      <c r="B284" s="132">
        <v>46077</v>
      </c>
      <c r="C284" s="7">
        <f>IF(BS_CONTROLE[[#This Row],[DATA]]="","",WEEKNUM(BS_CONTROLE[[#This Row],[DATA]]))</f>
        <v>9</v>
      </c>
      <c r="D284" s="45" t="s">
        <v>907</v>
      </c>
      <c r="E284" s="175">
        <v>322</v>
      </c>
      <c r="F284" s="133" t="s">
        <v>822</v>
      </c>
      <c r="G284" s="8" t="str">
        <f>IF(D284="","*",VLOOKUP(F284,BS_ATIVIDADE[#All],3,FALSE))</f>
        <v>SOLDA</v>
      </c>
      <c r="H284" s="148" t="s">
        <v>1784</v>
      </c>
      <c r="I284" s="134" t="s">
        <v>640</v>
      </c>
      <c r="J284" s="150">
        <v>98</v>
      </c>
      <c r="K284" s="150">
        <v>548.20000000000005</v>
      </c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">
        <v>1784</v>
      </c>
      <c r="O284" s="134">
        <v>0.375</v>
      </c>
      <c r="P284" s="134">
        <v>6.25E-2</v>
      </c>
      <c r="Q284" s="71">
        <v>1</v>
      </c>
      <c r="R284" s="9" t="str">
        <f>IFERROR(_xlfn.XLOOKUP(F284, BS_ATIVIDADE[ATIVIDADE],BS_ATIVIDADE[UNIDADE] ), "*")</f>
        <v>Nº DE SOLDA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 t="s">
        <v>1317</v>
      </c>
      <c r="W284" s="134" t="s">
        <v>1318</v>
      </c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PDM - SOLDA</v>
      </c>
      <c r="AJ284" s="8" t="str">
        <f>IF(D284="","*",VLOOKUP(AI284,BS_ATIVIDADE[#Data],3,FALSE))</f>
        <v>SOLDA</v>
      </c>
      <c r="AK284" s="166" t="str">
        <f>IF(BS_CONTROLE[[#This Row],[Local - Partida]]=0, "-", BS_CONTROLE[[#This Row],[Local - Partida]])</f>
        <v>TRMSUL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TRMSUL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>
        <f>IF(D284="","*",IFERROR(IF(ISODD(COUNT(AS284:AX284)),"ERRO",SUM((AT284-AS284),(AV284-AU284),(AX284-AW284))),"ERRO"))</f>
        <v>0</v>
      </c>
      <c r="AZ284" s="11"/>
      <c r="BA284" s="60"/>
      <c r="BB284" s="9" t="str">
        <f>IFERROR(_xlfn.XLOOKUP(AI284, BS_ATIVIDADE[ATIVIDADE],BS_ATIVIDADE[UNIDADE] ), "*")</f>
        <v>Nº DE SOLDA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Bruno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Produção e Intervalo</v>
      </c>
      <c r="BR284" s="15">
        <f t="shared" ref="BR284:BR347" si="34">IF(OR(B284="",F284=""),"*",AY284/P284)</f>
        <v>0</v>
      </c>
      <c r="BS284" s="15">
        <f t="shared" ref="BS284:BS347" si="35">IF(OR(B284="",F284=""),"*",BA284/Q284)</f>
        <v>0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>N7046077</v>
      </c>
      <c r="B288" s="132">
        <v>46077</v>
      </c>
      <c r="C288" s="7">
        <f>IF(BS_CONTROLE[[#This Row],[DATA]]="","",WEEKNUM(BS_CONTROLE[[#This Row],[DATA]]))</f>
        <v>9</v>
      </c>
      <c r="D288" s="45" t="s">
        <v>1785</v>
      </c>
      <c r="E288" s="175">
        <v>326</v>
      </c>
      <c r="F288" s="133" t="s">
        <v>654</v>
      </c>
      <c r="G288" s="8" t="str">
        <f>IF(D288="","*",VLOOKUP(F288,BS_ATIVIDADE[#All],3,FALSE))</f>
        <v>OUTROS</v>
      </c>
      <c r="H288" s="134" t="s">
        <v>177</v>
      </c>
      <c r="I288" s="134" t="s">
        <v>1293</v>
      </c>
      <c r="J288" s="150">
        <v>74</v>
      </c>
      <c r="K288" s="150">
        <v>404</v>
      </c>
      <c r="L288" s="71" t="s">
        <v>640</v>
      </c>
      <c r="M288" s="148" t="s">
        <v>1786</v>
      </c>
      <c r="N288" s="148" t="s">
        <v>1787</v>
      </c>
      <c r="O288" s="134">
        <v>0.45833333333333331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188" t="str">
        <f>IFERROR(_xlfn.XLOOKUP(J288, BASE_MAPA!$B$2:$B$420, BASE_MAPA!$G$2:$G$420), "ERRO")</f>
        <v>MARCO INICIAL - ALTO ARAGUAIA</v>
      </c>
      <c r="V288" s="142" t="s">
        <v>1566</v>
      </c>
      <c r="W288" s="134" t="s">
        <v>1788</v>
      </c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TOM</v>
      </c>
      <c r="AL288" s="166" t="str">
        <f>IF(BS_CONTROLE[[#This Row],[Local - Encerramento]]=0, "-", BS_CONTROLE[[#This Row],[Local - Encerramento]])</f>
        <v>TAG</v>
      </c>
      <c r="AM288" s="166" t="str">
        <f>IF(BS_CONTROLE[[#This Row],[Entre - Estações]]=0, "-", BS_CONTROLE[[#This Row],[Entre - Estações]])</f>
        <v>TOM-TAG</v>
      </c>
      <c r="AN288" s="166" t="str">
        <f>IF(BS_CONTROLE[[#This Row],[SB]]=0, "-", BS_CONTROLE[[#This Row],[SB]])</f>
        <v>TOMTAG</v>
      </c>
      <c r="AO288" s="167">
        <f>IF(BS_CONTROLE[[#This Row],[SUB]]=0, "-", BS_CONTROLE[[#This Row],[SUB]])</f>
        <v>74</v>
      </c>
      <c r="AP288" s="168">
        <f>IF(BS_CONTROLE[[#This Row],[KM - Inicio]]=0, "-", BS_CONTROLE[[#This Row],[KM - Inicio]])</f>
        <v>404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89" t="str">
        <f>IFERROR(_xlfn.XLOOKUP(AO288, BASE_MAPA!$B$2:$B$420, BASE_MAPA!$G$2:$G$420), "ERRO")</f>
        <v>MARCO INICIAL - ALTO ARAGUAIA</v>
      </c>
      <c r="BF288" s="169" t="str">
        <f>IF(BS_CONTROLE[[#This Row],[Responsavel pelo boletim]]=0, "-", BS_CONTROLE[[#This Row],[Responsavel pelo boletim]])</f>
        <v>Elton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1789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1790</v>
      </c>
      <c r="E3" s="176" t="s">
        <v>1791</v>
      </c>
      <c r="F3" s="176" t="s">
        <v>1792</v>
      </c>
      <c r="G3" s="176" t="s">
        <v>1793</v>
      </c>
      <c r="H3" s="176" t="s">
        <v>1794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1795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1796</v>
      </c>
      <c r="D12" s="177">
        <v>9049</v>
      </c>
      <c r="E12" s="178">
        <v>46044</v>
      </c>
      <c r="F12" s="180" t="s">
        <v>1797</v>
      </c>
      <c r="G12" s="177" t="s">
        <v>1798</v>
      </c>
      <c r="H12" s="177"/>
    </row>
    <row r="13" spans="3:8">
      <c r="C13" s="177" t="s">
        <v>1796</v>
      </c>
      <c r="D13" s="177">
        <v>9044</v>
      </c>
      <c r="E13" s="178">
        <v>46044</v>
      </c>
      <c r="F13" s="180" t="s">
        <v>1799</v>
      </c>
      <c r="G13" s="177" t="s">
        <v>1800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1801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1801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1" workbookViewId="0">
      <selection activeCell="Q915" sqref="Q915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1802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1803</v>
      </c>
      <c r="B3" s="91" t="s">
        <v>1804</v>
      </c>
      <c r="C3" s="91" t="s">
        <v>636</v>
      </c>
      <c r="D3" s="92" t="s">
        <v>1212</v>
      </c>
      <c r="E3" s="92" t="s">
        <v>4</v>
      </c>
      <c r="F3" s="92" t="s">
        <v>1805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1806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8.3333333333333329E-2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*</v>
      </c>
      <c r="L284" s="186" t="str">
        <f>IF(FN_MC!N279="","*",FN_MC!N279)</f>
        <v>*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FERRONORTE</v>
      </c>
      <c r="E287" s="96" t="str">
        <f>IF(FN_MC!T282="","*",FN_MC!T282)</f>
        <v>TGR-TRO</v>
      </c>
      <c r="F287" s="96">
        <f>IF(FN_MC!B282="","*",FN_MC!B282)</f>
        <v>46077</v>
      </c>
      <c r="G287" s="96" t="str">
        <f>IF(FN_MC!D282="","*",FN_MC!D282)</f>
        <v>V86</v>
      </c>
      <c r="H287" s="96" t="str">
        <f>IF(FN_MC!F282="","*",FN_MC!F282)</f>
        <v>MECANIZAÇÃO - SOCADORA</v>
      </c>
      <c r="I287" s="96" t="str">
        <f>IF(FN_MC!H282="","*",FN_MC!H282)</f>
        <v xml:space="preserve">TIQ </v>
      </c>
      <c r="J287" s="96" t="str">
        <f>IF(FN_MC!I282="","*",FN_MC!I282)</f>
        <v>TIQ</v>
      </c>
      <c r="K287" s="96" t="str">
        <f>IF(FN_MC!M282="","*",FN_MC!M282)</f>
        <v>TBS</v>
      </c>
      <c r="L287" s="186" t="str">
        <f>IF(FN_MC!N282="","*",FN_MC!N282)</f>
        <v>TBS1</v>
      </c>
      <c r="M287" s="97">
        <f>IF(FN_MC!J282="","*",FN_MC!J282)</f>
        <v>98</v>
      </c>
      <c r="N287" s="173">
        <f>IF(FN_MC!K282="","*",FN_MC!K282)</f>
        <v>660</v>
      </c>
      <c r="O287" s="173">
        <f>IF(FN_MC!L282="","*",FN_MC!L282)</f>
        <v>665</v>
      </c>
      <c r="P287" s="107">
        <f>IF(FN_MC!O282="","*",FN_MC!O282)</f>
        <v>0.4375</v>
      </c>
      <c r="Q287" s="107">
        <f>IF(FN_MC!P282="","*",FN_MC!P282)</f>
        <v>0.125</v>
      </c>
      <c r="R287" s="96" t="str">
        <f>IF(FN_MC!Q282="","*",CONCATENATE(FN_MC!Q282," ",FN_MC!R282))</f>
        <v>1680 M</v>
      </c>
      <c r="S287" s="96" t="str">
        <f>IF(FN_MC!V282="","*",FN_MC!V282)</f>
        <v>Antonioni</v>
      </c>
      <c r="T287" s="96" t="str">
        <f>IF(FN_MC!W282="","*",FN_MC!W282)</f>
        <v>Socaria mecanizada</v>
      </c>
      <c r="U287" s="98">
        <f ca="1">_xlfn.XLOOKUP(G287&amp;$U$3,BS_CONTROLE[CHAVE],BS_CONTROLE[Quantidade_11],"-")</f>
        <v>0</v>
      </c>
      <c r="V287" s="98">
        <f ca="1">_xlfn.XLOOKUP(G287&amp;$V$3,BS_CONTROLE[CHAVE],BS_CONTROLE[Quantidade_11],"-")</f>
        <v>0</v>
      </c>
      <c r="W287" s="98">
        <f ca="1">_xlfn.XLOOKUP(G287&amp;$W$3,BS_CONTROLE[CHAVE],BS_CONTROLE[Quantidade_11],"-")</f>
        <v>2700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FERRONORTE</v>
      </c>
      <c r="E289" s="96" t="str">
        <f>IF(FN_MC!T284="","*",FN_MC!T284)</f>
        <v>TGR-TRO</v>
      </c>
      <c r="F289" s="96">
        <f>IF(FN_MC!B284="","*",FN_MC!B284)</f>
        <v>46077</v>
      </c>
      <c r="G289" s="96" t="str">
        <f>IF(FN_MC!D284="","*",FN_MC!D284)</f>
        <v>BRUNO (TF-525)</v>
      </c>
      <c r="H289" s="96" t="str">
        <f>IF(FN_MC!F284="","*",FN_MC!F284)</f>
        <v>PDM - SOLDA</v>
      </c>
      <c r="I289" s="96" t="str">
        <f>IF(FN_MC!H284="","*",FN_MC!H284)</f>
        <v>TRMSUL</v>
      </c>
      <c r="J289" s="96" t="str">
        <f>IF(FN_MC!I284="","*",FN_MC!I284)</f>
        <v>-</v>
      </c>
      <c r="K289" s="96" t="str">
        <f>IF(FN_MC!M284="","*",FN_MC!M284)</f>
        <v>TRM</v>
      </c>
      <c r="L289" s="186" t="str">
        <f>IF(FN_MC!N284="","*",FN_MC!N284)</f>
        <v>TRMSUL</v>
      </c>
      <c r="M289" s="97">
        <f>IF(FN_MC!J284="","*",FN_MC!J284)</f>
        <v>98</v>
      </c>
      <c r="N289" s="173">
        <f>IF(FN_MC!K284="","*",FN_MC!K284)</f>
        <v>548.20000000000005</v>
      </c>
      <c r="O289" s="173" t="str">
        <f>IF(FN_MC!L284="","*",FN_MC!L284)</f>
        <v>-</v>
      </c>
      <c r="P289" s="107">
        <f>IF(FN_MC!O284="","*",FN_MC!O284)</f>
        <v>0.375</v>
      </c>
      <c r="Q289" s="107">
        <f>IF(FN_MC!P284="","*",FN_MC!P284)</f>
        <v>6.25E-2</v>
      </c>
      <c r="R289" s="96" t="str">
        <f>IF(FN_MC!Q284="","*",CONCATENATE(FN_MC!Q284," ",FN_MC!R284))</f>
        <v>1 Nº DE SOLDA</v>
      </c>
      <c r="S289" s="96" t="str">
        <f>IF(FN_MC!V284="","*",FN_MC!V284)</f>
        <v>Bruno</v>
      </c>
      <c r="T289" s="96" t="str">
        <f>IF(FN_MC!W284="","*",FN_MC!W284)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1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FERRONORTE</v>
      </c>
      <c r="E293" s="96" t="str">
        <f>IF(FN_MC!T288="","*",FN_MC!T288)</f>
        <v>TCS-TGR</v>
      </c>
      <c r="F293" s="96">
        <f>IF(FN_MC!B288="","*",FN_MC!B288)</f>
        <v>46077</v>
      </c>
      <c r="G293" s="96" t="str">
        <f>IF(FN_MC!D288="","*",FN_MC!D288)</f>
        <v>N70</v>
      </c>
      <c r="H293" s="96" t="str">
        <f>IF(FN_MC!F288="","*",FN_MC!F288)</f>
        <v>DESLOCAMENTO</v>
      </c>
      <c r="I293" s="96" t="str">
        <f>IF(FN_MC!H288="","*",FN_MC!H288)</f>
        <v>TOM</v>
      </c>
      <c r="J293" s="96" t="str">
        <f>IF(FN_MC!I288="","*",FN_MC!I288)</f>
        <v>TAG</v>
      </c>
      <c r="K293" s="96" t="str">
        <f>IF(FN_MC!M288="","*",FN_MC!M288)</f>
        <v>TOM-TAG</v>
      </c>
      <c r="L293" s="186" t="str">
        <f>IF(FN_MC!N288="","*",FN_MC!N288)</f>
        <v>TOMTAG</v>
      </c>
      <c r="M293" s="97">
        <f>IF(FN_MC!J288="","*",FN_MC!J288)</f>
        <v>74</v>
      </c>
      <c r="N293" s="173">
        <f>IF(FN_MC!K288="","*",FN_MC!K288)</f>
        <v>404</v>
      </c>
      <c r="O293" s="173" t="str">
        <f>IF(FN_MC!L288="","*",FN_MC!L288)</f>
        <v>-</v>
      </c>
      <c r="P293" s="107">
        <f>IF(FN_MC!O288="","*",FN_MC!O288)</f>
        <v>0.45833333333333331</v>
      </c>
      <c r="Q293" s="107">
        <f>IF(FN_MC!P288="","*",FN_MC!P288)</f>
        <v>4.1666666666666664E-2</v>
      </c>
      <c r="R293" s="96" t="str">
        <f>IF(FN_MC!Q288="","*",CONCATENATE(FN_MC!Q288," ",FN_MC!R288))</f>
        <v>1 BINÁRIO</v>
      </c>
      <c r="S293" s="96" t="str">
        <f>IF(FN_MC!V288="","*",FN_MC!V288)</f>
        <v>Elton</v>
      </c>
      <c r="T293" s="96" t="str">
        <f>IF(FN_MC!W288="","*",FN_MC!W288)</f>
        <v>Termina abastececimento e desloca pro TAG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1807</v>
      </c>
      <c r="C2" s="83" t="s">
        <v>1197</v>
      </c>
      <c r="D2" s="83" t="s">
        <v>1199</v>
      </c>
      <c r="E2" s="83" t="s">
        <v>1808</v>
      </c>
      <c r="F2" s="83" t="s">
        <v>1809</v>
      </c>
      <c r="G2" s="83" t="s">
        <v>1810</v>
      </c>
      <c r="H2" s="83" t="s">
        <v>1811</v>
      </c>
      <c r="I2" s="83" t="s">
        <v>1812</v>
      </c>
      <c r="J2" s="83" t="s">
        <v>1813</v>
      </c>
      <c r="K2" s="109" t="s">
        <v>1814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>
        <f>IF(FN_MC!B284="","*",FN_MC!B284)</f>
        <v>46077</v>
      </c>
      <c r="D324" s="101" t="str">
        <f>IF(FN_MC!D284="","*",FN_MC!D284)</f>
        <v>BRUNO (TF-525)</v>
      </c>
      <c r="E324" s="101" t="str">
        <f>IF(FN_MC!H284="","*",FN_MC!H284)</f>
        <v>TRMSUL</v>
      </c>
      <c r="F324" s="114" t="str">
        <f>IF(FN_MC!M284="","*",FN_MC!M284)</f>
        <v>TRM</v>
      </c>
      <c r="G324" s="101" t="str">
        <f>IF(FN_MC!I284="","*",FN_MC!I284)</f>
        <v>-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>
        <f>IF(FN_MC!B288="","*",FN_MC!B288)</f>
        <v>46077</v>
      </c>
      <c r="D328" s="101" t="str">
        <f>IF(FN_MC!D288="","*",FN_MC!D288)</f>
        <v>N70</v>
      </c>
      <c r="E328" s="101" t="str">
        <f>IF(FN_MC!H288="","*",FN_MC!H288)</f>
        <v>TOM</v>
      </c>
      <c r="F328" s="114" t="str">
        <f>IF(FN_MC!M288="","*",FN_MC!M288)</f>
        <v>TOM-TAG</v>
      </c>
      <c r="G328" s="101" t="str">
        <f>IF(FN_MC!I288="","*",FN_MC!I288)</f>
        <v>TAG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1815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1816</v>
      </c>
      <c r="C4" s="181" t="s">
        <v>1817</v>
      </c>
      <c r="D4" s="181" t="s">
        <v>1818</v>
      </c>
      <c r="E4" s="181" t="s">
        <v>1819</v>
      </c>
      <c r="F4" s="181" t="s">
        <v>4</v>
      </c>
      <c r="G4" s="181" t="s">
        <v>1820</v>
      </c>
    </row>
    <row r="5" spans="2:7">
      <c r="B5" s="182" t="s">
        <v>1821</v>
      </c>
      <c r="C5" s="182">
        <v>309525</v>
      </c>
      <c r="D5" s="182" t="s">
        <v>1822</v>
      </c>
      <c r="E5" s="182" t="s">
        <v>878</v>
      </c>
      <c r="F5" s="182" t="s">
        <v>1823</v>
      </c>
      <c r="G5" s="183">
        <v>46296</v>
      </c>
    </row>
    <row r="6" spans="2:7">
      <c r="B6" s="182" t="s">
        <v>1824</v>
      </c>
      <c r="C6" s="182">
        <v>257410</v>
      </c>
      <c r="D6" s="182" t="s">
        <v>1825</v>
      </c>
      <c r="E6" s="182" t="s">
        <v>878</v>
      </c>
      <c r="F6" s="182" t="s">
        <v>1823</v>
      </c>
      <c r="G6" s="183"/>
    </row>
    <row r="7" spans="2:7">
      <c r="B7" s="182" t="s">
        <v>1484</v>
      </c>
      <c r="C7" s="182">
        <v>256875</v>
      </c>
      <c r="D7" s="182" t="s">
        <v>1826</v>
      </c>
      <c r="E7" s="182" t="s">
        <v>878</v>
      </c>
      <c r="F7" s="182" t="s">
        <v>1823</v>
      </c>
      <c r="G7" s="183">
        <v>46296</v>
      </c>
    </row>
    <row r="8" spans="2:7">
      <c r="B8" s="182" t="s">
        <v>1827</v>
      </c>
      <c r="C8" s="182">
        <v>257278</v>
      </c>
      <c r="D8" s="182" t="s">
        <v>1828</v>
      </c>
      <c r="E8" s="182" t="s">
        <v>869</v>
      </c>
      <c r="F8" s="182" t="s">
        <v>1829</v>
      </c>
      <c r="G8" s="183">
        <v>46235</v>
      </c>
    </row>
    <row r="9" spans="2:7">
      <c r="B9" s="182" t="s">
        <v>1830</v>
      </c>
      <c r="C9" s="182">
        <v>261794</v>
      </c>
      <c r="D9" s="182" t="s">
        <v>1831</v>
      </c>
      <c r="E9" s="182" t="s">
        <v>869</v>
      </c>
      <c r="F9" s="182" t="s">
        <v>1829</v>
      </c>
      <c r="G9" s="183">
        <v>46082</v>
      </c>
    </row>
    <row r="10" spans="2:7">
      <c r="B10" s="182" t="s">
        <v>1832</v>
      </c>
      <c r="C10" s="182">
        <v>257033</v>
      </c>
      <c r="D10" s="182" t="s">
        <v>1833</v>
      </c>
      <c r="E10" s="182" t="s">
        <v>869</v>
      </c>
      <c r="F10" s="182" t="s">
        <v>118</v>
      </c>
      <c r="G10" s="182" t="s">
        <v>1834</v>
      </c>
    </row>
    <row r="11" spans="2:7">
      <c r="B11" s="182" t="s">
        <v>1835</v>
      </c>
      <c r="C11" s="182">
        <v>396578</v>
      </c>
      <c r="D11" s="182" t="s">
        <v>1836</v>
      </c>
      <c r="E11" s="182" t="s">
        <v>869</v>
      </c>
      <c r="F11" s="182" t="s">
        <v>118</v>
      </c>
      <c r="G11" s="182" t="s">
        <v>1834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1837</v>
      </c>
      <c r="D5" s="271"/>
      <c r="E5" s="271"/>
      <c r="F5" s="271"/>
      <c r="G5" s="271"/>
      <c r="H5" s="271"/>
      <c r="I5" s="271"/>
      <c r="J5" s="272"/>
      <c r="K5" s="273" t="s">
        <v>1838</v>
      </c>
      <c r="L5" s="274"/>
      <c r="M5" s="274"/>
      <c r="N5" s="274"/>
      <c r="O5" s="275" t="s">
        <v>1839</v>
      </c>
      <c r="P5" s="276"/>
      <c r="Q5" s="277"/>
    </row>
    <row r="6" spans="1:17" s="81" customFormat="1" ht="15.75" customHeight="1">
      <c r="A6" s="75" t="s">
        <v>1805</v>
      </c>
      <c r="B6" s="82" t="s">
        <v>1804</v>
      </c>
      <c r="C6" s="83" t="s">
        <v>1212</v>
      </c>
      <c r="D6" s="84" t="s">
        <v>1213</v>
      </c>
      <c r="E6" s="83" t="s">
        <v>1840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1841</v>
      </c>
      <c r="M6" s="116" t="s">
        <v>658</v>
      </c>
      <c r="N6" s="117" t="s">
        <v>1207</v>
      </c>
      <c r="O6" s="159" t="s">
        <v>1250</v>
      </c>
      <c r="P6" s="128"/>
      <c r="Q6" s="138" t="s">
        <v>1842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 xml:space="preserve">MC1 08:30, aguarda oportunidade 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1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MC1 08:40, sem oportunidade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Equipe no local 08:05, aguarda temperatura para atividade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MC1 08:35, aguarda manobra do I36 - perdeu a faixa devido manobra do I36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1</v>
      </c>
      <c r="P317" s="78"/>
      <c r="Q317" s="120" t="str">
        <f>IF($A$2=1,IF(FN_MC!BJ273="","*",FN_MC!BJ273),IF(FN_MC!BK273="","*",FN_MC!BK273))</f>
        <v>Licença as 13:03h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8.3333333333333329E-2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*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*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660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660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>
        <f>IF(FN_MC!B284="","*",FN_MC!B284)</f>
        <v>46077</v>
      </c>
      <c r="B328" s="86" t="str">
        <f>IF(FN_MC!X284="","*",FN_MC!X284)</f>
        <v>*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BRUNO (TF-525)</v>
      </c>
      <c r="F328" s="87" t="str">
        <f>IF(FN_MC!H284="","*",FN_MC!H284)</f>
        <v>TRMSUL</v>
      </c>
      <c r="G328" s="87" t="str">
        <f>IF(FN_MC!M284="","*",FN_MC!M284)</f>
        <v>TRM</v>
      </c>
      <c r="H328" s="125">
        <f>IF(FN_MC!K284="","*",FN_MC!K284)</f>
        <v>548.20000000000005</v>
      </c>
      <c r="I328" s="110">
        <f>IF(FN_MC!O284="","*",FN_MC!O284)</f>
        <v>0.375</v>
      </c>
      <c r="J328" s="110">
        <f>IF(FN_MC!P284="","*",FN_MC!P284)</f>
        <v>6.25E-2</v>
      </c>
      <c r="K328" s="118" t="str">
        <f>IF(FN_MC!AK284="","*",FN_MC!AK284)</f>
        <v>TRMSUL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>
        <f>IF(FN_MC!B288="","*",FN_MC!B288)</f>
        <v>46077</v>
      </c>
      <c r="B332" s="86" t="str">
        <f>IF(FN_MC!X288="","*",FN_MC!X288)</f>
        <v>*</v>
      </c>
      <c r="C332" s="87" t="str">
        <f>IF(FN_MC!S288="","*",FN_MC!S288)</f>
        <v>FERRONORTE</v>
      </c>
      <c r="D332" s="87" t="str">
        <f>IF(FN_MC!T288="","*",FN_MC!T288)</f>
        <v>TCS-TGR</v>
      </c>
      <c r="E332" s="87" t="str">
        <f>IF(FN_MC!D288="","*",FN_MC!D288)</f>
        <v>N70</v>
      </c>
      <c r="F332" s="87" t="str">
        <f>IF(FN_MC!H288="","*",FN_MC!H288)</f>
        <v>TOM</v>
      </c>
      <c r="G332" s="87" t="str">
        <f>IF(FN_MC!M288="","*",FN_MC!M288)</f>
        <v>TOM-TAG</v>
      </c>
      <c r="H332" s="125">
        <f>IF(FN_MC!K288="","*",FN_MC!K288)</f>
        <v>404</v>
      </c>
      <c r="I332" s="110">
        <f>IF(FN_MC!O288="","*",FN_MC!O288)</f>
        <v>0.45833333333333331</v>
      </c>
      <c r="J332" s="110">
        <f>IF(FN_MC!P288="","*",FN_MC!P288)</f>
        <v>4.1666666666666664E-2</v>
      </c>
      <c r="K332" s="118" t="str">
        <f>IF(FN_MC!AK288="","*",FN_MC!AK288)</f>
        <v>TOM</v>
      </c>
      <c r="L332" s="118" t="str">
        <f>IF(FN_MC!AM288="","*",FN_MC!AM288)</f>
        <v>TOM-TAG</v>
      </c>
      <c r="M332" s="118">
        <f>IF(FN_MC!AP288="","*",FN_MC!AP288)</f>
        <v>404</v>
      </c>
      <c r="N332" s="118" t="str">
        <f>IF(FN_MC!AM288="","*",FN_MC!AM288)</f>
        <v>TOM-TAG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1843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2026-02-23T16:58:02Z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