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73" documentId="8_{B6337239-1A00-434D-AAD0-422EA1FEB5AE}" xr6:coauthVersionLast="47" xr6:coauthVersionMax="47" xr10:uidLastSave="{D36AE586-2DCE-4ABF-8060-9CA98652AFA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5" i="13" l="1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S338" i="1" a="1"/>
  <c r="S338" i="1" s="1"/>
  <c r="D336" i="12" s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8" i="1" l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5" i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<sst xmlns="http://schemas.openxmlformats.org/spreadsheetml/2006/main" count="9435" uniqueCount="1922">
  <si>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</si>
  <si>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</si>
  <si>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</si>
  <si>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</si>
  <si>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</si>
  <si>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</si>
  <si>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</si>
  <si>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</si>
  <si>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</si>
  <si>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</si>
  <si>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</si>
  <si>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</si>
  <si>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</si>
  <si>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</si>
  <si>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</si>
  <si>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</si>
  <si>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</si>
  <si>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</si>
  <si>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</si>
  <si>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</si>
  <si>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</si>
  <si>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</si>
  <si>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</si>
  <si>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</si>
  <si>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</si>
  <si>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</si>
  <si>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</si>
  <si>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</si>
  <si>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</si>
  <si>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</si>
  <si>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</si>
  <si>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</si>
  <si>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</si>
  <si>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</si>
  <si>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</si>
  <si>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</si>
  <si>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</si>
  <si>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</si>
  <si>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</si>
  <si>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</si>
  <si>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</si>
  <si>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</si>
  <si>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</si>
  <si>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</si>
  <si>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</si>
  <si>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</si>
  <si>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</si>
  <si>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</si>
  <si>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</si>
  <si>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</si>
  <si>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</si>
  <si>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</si>
  <si>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</si>
  <si>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</si>
  <si>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</si>
  <si>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</si>
  <si>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</si>
  <si>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</si>
  <si>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</si>
  <si>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</si>
  <si>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</si>
  <si>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</si>
  <si>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</si>
  <si>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</si>
  <si>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</si>
  <si>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</si>
  <si>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</si>
  <si>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</si>
  <si>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</si>
  <si>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</si>
  <si>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</si>
  <si>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</si>
  <si>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</si>
  <si>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</si>
  <si>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</si>
  <si>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</si>
  <si>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</si>
  <si>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</si>
  <si>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</si>
  <si>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</si>
  <si>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</si>
  <si>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</si>
  <si>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</si>
  <si>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</si>
  <si>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</si>
  <si>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</si>
  <si>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</si>
  <si>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</si>
  <si>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</si>
  <si>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</si>
  <si>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</si>
  <si>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</si>
  <si>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</si>
  <si>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</si>
  <si>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</si>
  <si>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</si>
  <si>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</si>
  <si>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</si>
  <si>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</si>
  <si>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</si>
  <si>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</si>
  <si>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</si>
  <si>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</si>
  <si>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</si>
  <si>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</si>
  <si>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</si>
  <si>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</si>
  <si>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</si>
  <si>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</si>
  <si>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</si>
  <si>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</si>
  <si>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</si>
  <si>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</si>
  <si>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</si>
  <si>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</si>
  <si>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</si>
  <si>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</si>
  <si>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</si>
  <si>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</si>
  <si>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</si>
  <si>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</si>
  <si>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</si>
  <si>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</si>
  <si>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</si>
  <si>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</si>
  <si>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</si>
  <si>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</si>
  <si>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</si>
  <si>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</si>
  <si>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</si>
  <si>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</si>
  <si>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</si>
  <si>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</si>
  <si>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</si>
  <si>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</si>
  <si>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</si>
  <si>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</si>
  <si>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</si>
  <si>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</si>
  <si>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</si>
  <si>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</si>
  <si>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</si>
  <si>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</si>
  <si>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</si>
  <si>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</si>
  <si>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</si>
  <si>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</si>
  <si>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</si>
  <si>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</si>
  <si>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</si>
  <si>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</si>
  <si>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</si>
  <si>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</si>
  <si>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</si>
  <si>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</si>
  <si>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</si>
  <si>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</si>
  <si>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</si>
  <si>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</si>
  <si>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</si>
  <si>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</si>
  <si>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</si>
  <si>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</si>
  <si>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</si>
  <si>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</si>
  <si>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</si>
  <si>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</si>
  <si>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</si>
  <si>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</si>
  <si>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</si>
  <si>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</si>
  <si>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</si>
  <si>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</si>
  <si>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</si>
  <si>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</si>
  <si>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</si>
  <si>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</si>
  <si>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</si>
  <si>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</si>
  <si>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</si>
  <si>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</si>
  <si>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</si>
  <si>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</si>
  <si>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</si>
  <si>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</si>
  <si>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</si>
  <si>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</si>
  <si>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</si>
  <si>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</si>
  <si>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</si>
  <si>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</si>
  <si>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</si>
  <si>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</si>
  <si>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</si>
  <si>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</si>
  <si>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</si>
  <si>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</si>
  <si>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</si>
  <si>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</si>
  <si>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</si>
  <si>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</si>
  <si>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</si>
  <si>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</si>
  <si>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</si>
  <si>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</si>
  <si>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</si>
  <si>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</si>
  <si>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</si>
  <si>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</si>
  <si>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</si>
  <si>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</si>
  <si>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</si>
  <si>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</si>
  <si>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</si>
  <si>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</si>
  <si>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</si>
  <si>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</si>
  <si>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</si>
  <si>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</si>
  <si>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</si>
  <si>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</si>
  <si>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</si>
  <si>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</si>
  <si>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</si>
  <si>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</si>
  <si>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</si>
  <si>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</si>
  <si>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</si>
  <si>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</si>
  <si>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</si>
  <si>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</si>
  <si>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</si>
  <si>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</si>
  <si>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</si>
  <si>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</si>
  <si>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</si>
  <si>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</si>
  <si>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</si>
  <si>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</si>
  <si>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</si>
  <si>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</si>
  <si>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</si>
  <si>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</si>
  <si>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</si>
  <si>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</si>
  <si>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</si>
  <si>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</si>
  <si>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</si>
  <si>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</si>
  <si>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</si>
  <si>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</si>
  <si>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</si>
  <si>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</si>
  <si>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</si>
  <si>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</si>
  <si>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</si>
  <si>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</si>
  <si>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</si>
  <si>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</si>
  <si>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</si>
  <si>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</si>
  <si>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</si>
  <si>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</si>
  <si>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</si>
  <si>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</si>
  <si>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</si>
  <si>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</si>
  <si>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</si>
  <si>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</si>
  <si>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</si>
  <si>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</si>
  <si>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</si>
  <si>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</si>
  <si>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</si>
  <si>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</si>
  <si>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</si>
  <si>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</si>
  <si>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</si>
  <si>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</si>
  <si>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</si>
  <si>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</si>
  <si>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</si>
  <si>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</si>
  <si>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</si>
  <si>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</si>
  <si>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</si>
  <si>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</si>
  <si>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</si>
  <si>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</si>
  <si>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</si>
  <si>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</si>
  <si>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</si>
  <si>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</si>
  <si>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</si>
  <si>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</si>
  <si>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</si>
  <si>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</si>
  <si>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</si>
  <si>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</si>
  <si>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</si>
  <si>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</si>
  <si>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</si>
  <si>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</si>
  <si>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</si>
  <si>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</si>
  <si>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</si>
  <si>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</si>
  <si>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</si>
  <si>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</si>
  <si>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</si>
  <si>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</si>
  <si>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</si>
  <si>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</si>
  <si>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</si>
  <si>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</si>
  <si>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</si>
  <si>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</si>
  <si>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</si>
  <si>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</si>
  <si>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</si>
  <si>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</si>
  <si>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</si>
  <si>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</si>
  <si>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</si>
  <si>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</si>
  <si>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</si>
  <si>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</si>
  <si>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</si>
  <si>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</si>
  <si>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</si>
  <si>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</si>
  <si>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</si>
  <si>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</si>
  <si>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</si>
  <si>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</si>
  <si>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</si>
  <si>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</si>
  <si>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</si>
  <si>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</si>
  <si>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</si>
  <si>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</si>
  <si>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</si>
  <si>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</si>
  <si>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</si>
  <si>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</si>
  <si>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</si>
  <si>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</si>
  <si>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</si>
  <si>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</si>
  <si>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</si>
  <si>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</si>
  <si>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</si>
  <si>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</si>
  <si>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</si>
  <si>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</si>
  <si>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</si>
  <si>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</si>
  <si>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</si>
  <si>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</si>
  <si>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</si>
  <si>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</si>
  <si>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</si>
  <si>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</si>
  <si>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</si>
  <si>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</si>
  <si>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</si>
  <si>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</si>
  <si>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</si>
  <si>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</si>
  <si>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</si>
  <si>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</si>
  <si>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</si>
  <si>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</si>
  <si>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</si>
  <si>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</si>
  <si>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</si>
  <si>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</si>
  <si>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</si>
  <si>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</si>
  <si>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</si>
  <si>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</si>
  <si>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</si>
  <si>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</si>
  <si>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</si>
  <si>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</si>
  <si>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</si>
  <si>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</si>
  <si>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</si>
  <si>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</si>
  <si>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</si>
  <si>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</si>
  <si>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</si>
  <si>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</si>
  <si>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</si>
  <si>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</si>
  <si>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</si>
  <si>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</si>
  <si>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</si>
  <si>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</si>
  <si>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</si>
  <si>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</si>
  <si>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</si>
  <si>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</si>
  <si>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</si>
  <si>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</si>
  <si>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</si>
  <si>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</si>
  <si>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</si>
  <si>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</si>
  <si>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</si>
  <si>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</si>
  <si>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</si>
  <si>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</si>
  <si>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</si>
  <si>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</si>
  <si>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</si>
  <si>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</si>
  <si>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</si>
  <si>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</si>
  <si>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</si>
  <si>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</si>
  <si>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</si>
  <si>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</si>
  <si>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</si>
  <si>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</si>
  <si>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</si>
  <si>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</si>
  <si>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</si>
  <si>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</si>
  <si>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</si>
  <si>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</si>
  <si>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</si>
  <si>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</si>
  <si>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</si>
  <si>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</si>
  <si>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</si>
  <si>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</si>
  <si>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</si>
  <si>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</si>
  <si>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</si>
  <si>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</si>
  <si>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</si>
  <si>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</si>
  <si>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</si>
  <si>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</si>
  <si>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</si>
  <si>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</si>
  <si>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</si>
  <si>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</si>
  <si>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</si>
  <si>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</si>
  <si>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</si>
  <si>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</si>
  <si>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</si>
  <si>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</si>
  <si>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</si>
  <si>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</si>
  <si>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</si>
  <si>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</si>
  <si>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</si>
  <si>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</si>
  <si>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</si>
  <si>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</si>
  <si>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</si>
  <si>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</si>
  <si>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</si>
  <si>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</si>
  <si>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</si>
  <si>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</si>
  <si>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</si>
  <si>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</si>
  <si>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</si>
  <si>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</si>
  <si>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</si>
  <si>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</si>
  <si>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</si>
  <si>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</si>
  <si>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</si>
  <si>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</si>
  <si>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</si>
  <si>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</si>
  <si>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</si>
  <si>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</si>
  <si>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</si>
  <si>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</si>
  <si>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</si>
  <si>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</si>
  <si>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</si>
  <si>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</si>
  <si>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</si>
  <si>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</si>
  <si>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</si>
  <si>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</si>
  <si>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</si>
  <si>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</si>
  <si>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</si>
  <si>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</si>
  <si>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</si>
  <si>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</si>
  <si>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</si>
  <si>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</si>
  <si>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</si>
  <si>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</si>
  <si>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</si>
  <si>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</si>
  <si>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</si>
  <si>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</si>
  <si>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</si>
  <si>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</si>
  <si>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</si>
  <si>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</si>
  <si>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</si>
  <si>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</si>
  <si>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</si>
  <si>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</si>
  <si>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</si>
  <si>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</si>
  <si>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</si>
  <si>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</si>
  <si>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</si>
  <si>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</si>
  <si>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</si>
  <si>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</si>
  <si>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</si>
  <si>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</si>
  <si>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</si>
  <si>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</si>
  <si>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</si>
  <si>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</si>
  <si>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</si>
  <si>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</si>
  <si>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</si>
  <si>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</si>
  <si>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</si>
  <si>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</si>
  <si>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</si>
  <si>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</si>
  <si>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</si>
  <si>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</si>
  <si>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</si>
  <si>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</si>
  <si>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</si>
  <si>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</si>
  <si>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</si>
  <si>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</si>
  <si>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</si>
  <si>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</si>
  <si>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</si>
  <si>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</si>
  <si>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</si>
  <si>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</si>
  <si>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</si>
  <si>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</si>
  <si>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</si>
  <si>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</si>
  <si>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</si>
  <si>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</si>
  <si>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</si>
  <si>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</si>
  <si>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</si>
  <si>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</si>
  <si>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</si>
  <si>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</si>
  <si>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</si>
  <si>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</si>
  <si>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</si>
  <si>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</si>
  <si>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</si>
  <si>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</si>
  <si>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</si>
  <si>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</si>
  <si>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</si>
  <si>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</si>
  <si>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</si>
  <si>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</si>
  <si>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</si>
  <si>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</si>
  <si>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</si>
  <si>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</si>
  <si>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</si>
  <si>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</si>
  <si>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</si>
  <si>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</si>
  <si>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</si>
  <si>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</si>
  <si>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</si>
  <si>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</si>
  <si>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</si>
  <si>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</si>
  <si>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</si>
  <si>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</si>
  <si>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</si>
  <si>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</si>
  <si>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</si>
  <si>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</si>
  <si>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</si>
  <si>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</si>
  <si>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</si>
  <si>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</si>
  <si>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</si>
  <si>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</si>
  <si>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</si>
  <si>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</si>
  <si>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</si>
  <si>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</si>
  <si>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</si>
  <si>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</si>
  <si>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</si>
  <si>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</si>
  <si>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</si>
  <si>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</si>
  <si>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</si>
  <si>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</si>
  <si>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</si>
  <si>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</si>
  <si>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</si>
  <si>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</si>
  <si>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</si>
  <si>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</si>
  <si>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</si>
  <si>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</si>
  <si>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</si>
  <si>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</si>
  <si>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</si>
  <si>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</si>
  <si>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</si>
  <si>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</si>
  <si>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</si>
  <si>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</si>
  <si>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</si>
  <si>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</si>
  <si>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</si>
  <si>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</si>
  <si>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</si>
  <si>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</si>
  <si>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</si>
  <si>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</si>
  <si>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</si>
  <si>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</si>
  <si>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</si>
  <si>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</si>
  <si>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</si>
  <si>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</si>
  <si>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</si>
  <si>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</si>
  <si>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</si>
  <si>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</si>
  <si>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</si>
  <si>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</si>
  <si>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</si>
  <si>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</si>
  <si>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</si>
  <si>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</si>
  <si>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</si>
  <si>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</si>
  <si>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</si>
  <si>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</si>
  <si>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</si>
  <si>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</si>
  <si>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</si>
  <si>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</si>
  <si>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</si>
  <si>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</si>
  <si>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</si>
  <si>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</si>
  <si>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</si>
  <si>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</si>
  <si>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</si>
  <si>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</si>
  <si>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</si>
  <si>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</si>
  <si>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</si>
  <si>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</si>
  <si>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</si>
  <si>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</si>
  <si>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</si>
  <si>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</si>
  <si>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</si>
  <si>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</si>
  <si>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</si>
  <si>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</si>
  <si>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</si>
  <si>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</si>
  <si>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</si>
  <si>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</si>
  <si>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</si>
  <si>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</si>
  <si>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</si>
  <si>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</si>
  <si>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</si>
  <si>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</si>
  <si>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</si>
  <si>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</si>
  <si>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</si>
  <si>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</si>
  <si>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</si>
  <si>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</si>
  <si>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</si>
  <si>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</si>
  <si>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</si>
  <si>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</si>
  <si>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</si>
  <si>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</si>
  <si>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</si>
  <si>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</si>
  <si>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</si>
  <si>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</si>
  <si>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</si>
  <si>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</si>
  <si>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</si>
  <si>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</si>
  <si>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</si>
  <si>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</si>
  <si>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</si>
  <si>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</si>
  <si>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</si>
  <si>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</si>
  <si>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</si>
  <si>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</si>
  <si>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</si>
  <si>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</si>
  <si>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</si>
  <si>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</si>
  <si>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</si>
  <si>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</si>
  <si>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</si>
  <si>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</si>
  <si>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</si>
  <si>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</si>
  <si>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</si>
  <si>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</si>
  <si>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</si>
  <si>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</si>
  <si>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</si>
  <si>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</si>
  <si>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</si>
  <si>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</si>
  <si>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</si>
  <si>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</si>
  <si>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</si>
  <si>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</si>
  <si>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</si>
  <si>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</si>
  <si>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</si>
  <si>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</si>
  <si>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</si>
  <si>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</si>
  <si>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</si>
  <si>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</si>
  <si>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</si>
  <si>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</si>
  <si>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</si>
  <si>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</si>
  <si>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</si>
  <si>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</si>
  <si>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</si>
  <si>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</si>
  <si>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</si>
  <si>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</si>
  <si>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</si>
  <si>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</si>
  <si>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</si>
  <si>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</si>
  <si>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</si>
  <si>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</si>
  <si>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</si>
  <si>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</si>
  <si>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</si>
  <si>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</si>
  <si>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</si>
  <si>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</si>
  <si>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</si>
  <si>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</si>
  <si>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</si>
  <si>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</si>
  <si>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</si>
  <si>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</si>
  <si>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</si>
  <si>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</si>
  <si>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</si>
  <si>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</si>
  <si>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</si>
  <si>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</si>
  <si>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</si>
  <si>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</si>
  <si>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</si>
  <si>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</si>
  <si>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</si>
  <si>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</si>
  <si>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</si>
  <si>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</si>
  <si>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</si>
  <si>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</si>
  <si>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</si>
  <si>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</si>
  <si>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</si>
  <si>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</si>
  <si>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</si>
  <si>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</si>
  <si>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</si>
  <si>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</si>
  <si>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</si>
  <si>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</si>
  <si>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</si>
  <si>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</si>
  <si>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</si>
  <si>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</si>
  <si>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</si>
  <si>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</si>
  <si>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</si>
  <si>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</si>
  <si>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</si>
  <si>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</si>
  <si>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</si>
  <si>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</si>
  <si>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</si>
  <si>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</si>
  <si>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</si>
  <si>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</si>
  <si>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</si>
  <si>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</si>
  <si>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</si>
  <si>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</si>
  <si>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</si>
  <si>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</si>
  <si>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</si>
  <si>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</si>
  <si>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</si>
  <si>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</si>
  <si>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</si>
  <si>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</si>
  <si>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</si>
  <si>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</si>
  <si>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</si>
  <si>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</si>
  <si>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</si>
  <si>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</si>
  <si>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</si>
  <si>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</si>
  <si>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</si>
  <si>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</si>
  <si>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</si>
  <si>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</si>
  <si>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</si>
  <si>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</si>
  <si>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</si>
  <si>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</si>
  <si>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</si>
  <si>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</si>
  <si>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</si>
  <si>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</si>
  <si>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</si>
  <si>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</si>
  <si>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</si>
  <si>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</si>
  <si>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</si>
  <si>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</si>
  <si>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</si>
  <si>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</si>
  <si>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</si>
  <si>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</si>
  <si>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</si>
  <si>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</si>
  <si>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</si>
  <si>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</si>
  <si>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</si>
  <si>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</si>
  <si>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</si>
  <si>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</si>
  <si>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</si>
  <si>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</si>
  <si>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</si>
  <si>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</si>
  <si>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</si>
  <si>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</si>
  <si>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</si>
  <si>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</si>
  <si>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</si>
  <si>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</si>
  <si>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</si>
  <si>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</si>
  <si>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</si>
  <si>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</si>
  <si>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</si>
  <si>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</si>
  <si>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</si>
  <si>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</si>
  <si>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</si>
  <si>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</si>
  <si>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</si>
  <si>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</si>
  <si>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</si>
  <si>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</si>
  <si>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</si>
  <si>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</si>
  <si>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</si>
  <si>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</si>
  <si>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</si>
  <si>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</si>
  <si>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</si>
  <si>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</si>
  <si>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</si>
  <si>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</si>
  <si>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</si>
  <si>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</si>
  <si>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</si>
  <si>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</si>
  <si>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</si>
  <si>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</si>
  <si>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</si>
  <si>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</si>
  <si>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</si>
  <si>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</si>
  <si>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</si>
  <si>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</si>
  <si>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</si>
  <si>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</si>
  <si>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</si>
  <si>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</si>
  <si>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</si>
  <si>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</si>
  <si>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</si>
  <si>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</si>
  <si>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</si>
  <si>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</si>
  <si>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</si>
  <si>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</si>
  <si>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</si>
  <si>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</si>
  <si>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</si>
  <si>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</si>
  <si>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</si>
  <si>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</si>
  <si>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</si>
  <si>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</si>
  <si>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</si>
  <si>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</si>
  <si>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</si>
  <si>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</si>
  <si>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</si>
  <si>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</si>
  <si>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</si>
  <si>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</si>
  <si>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</si>
  <si>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</si>
  <si>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</si>
  <si>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</si>
  <si>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</si>
  <si>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</si>
  <si>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</si>
  <si>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</si>
  <si>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</si>
  <si>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</si>
  <si>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</si>
  <si>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</si>
  <si>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</si>
  <si>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</si>
  <si>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</si>
  <si>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</si>
  <si>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</si>
  <si>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</si>
  <si>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</si>
  <si>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</si>
  <si>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</si>
  <si>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</si>
  <si>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</si>
  <si>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</si>
  <si>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</si>
  <si>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</si>
  <si>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</si>
  <si>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</si>
  <si>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</si>
  <si>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</si>
  <si>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</si>
  <si>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</si>
  <si>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</si>
  <si>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</si>
  <si>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</si>
  <si>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</si>
  <si>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</si>
  <si>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</si>
  <si>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</si>
  <si>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</si>
  <si>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</si>
  <si>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</si>
  <si>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</si>
  <si>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</si>
  <si>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</si>
  <si>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</si>
  <si>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</si>
  <si>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</si>
  <si>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</si>
  <si>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</si>
  <si>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</si>
  <si>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</si>
  <si>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</si>
  <si>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</si>
  <si>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</si>
  <si>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</si>
  <si>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</si>
  <si>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</si>
  <si>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</si>
  <si>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</si>
  <si>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</si>
  <si>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</si>
  <si>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</si>
  <si>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</si>
  <si>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</si>
  <si>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</si>
  <si>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</si>
  <si>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</si>
  <si>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</si>
  <si>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</si>
  <si>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</si>
  <si>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</si>
  <si>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</si>
  <si>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</si>
  <si>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</si>
  <si>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</si>
  <si>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</si>
  <si>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</si>
  <si>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</si>
  <si>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</si>
  <si>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</si>
  <si>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</si>
  <si>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</si>
  <si>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</si>
  <si>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</si>
  <si>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</si>
  <si>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</si>
  <si>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</si>
  <si>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</si>
  <si>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</si>
  <si>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</si>
  <si>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</si>
  <si>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</si>
  <si>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</si>
  <si>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</si>
  <si>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</si>
  <si>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</si>
  <si>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</si>
  <si>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</si>
  <si>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</si>
  <si>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</si>
  <si>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</si>
  <si>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</si>
  <si>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</si>
  <si>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</si>
  <si>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</si>
  <si>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</si>
  <si>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</si>
  <si>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</si>
  <si>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</si>
  <si>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</si>
  <si>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</si>
  <si>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</si>
  <si>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</si>
  <si>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</si>
  <si>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</si>
  <si>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</si>
  <si>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</si>
  <si>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</si>
  <si>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</si>
  <si>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</si>
  <si>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</si>
  <si>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</si>
  <si>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</si>
  <si>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</si>
  <si>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</si>
  <si>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</si>
  <si>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</si>
  <si>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</si>
  <si>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</si>
  <si>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</si>
  <si>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</si>
  <si>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</si>
  <si>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</si>
  <si>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</si>
  <si>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</si>
  <si>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</si>
  <si>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</si>
  <si>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</si>
  <si>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</si>
  <si>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</si>
  <si>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</si>
  <si>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</si>
  <si>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</si>
  <si>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</si>
  <si>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</si>
  <si>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</si>
  <si>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</si>
  <si>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</si>
  <si>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</si>
  <si>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</si>
  <si>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</si>
  <si>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</si>
  <si>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</si>
  <si>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</si>
  <si>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</si>
  <si>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</si>
  <si>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</si>
  <si>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</si>
  <si>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</si>
  <si>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</si>
  <si>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</si>
  <si>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</si>
  <si>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</si>
  <si>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</si>
  <si>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</si>
  <si>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</si>
  <si>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</si>
  <si>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</si>
  <si>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</si>
  <si>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</si>
  <si>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</si>
  <si>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</si>
  <si>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</si>
  <si>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</si>
  <si>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</si>
  <si>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</si>
  <si>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</si>
  <si>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</si>
  <si>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</si>
  <si>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</si>
  <si>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</si>
  <si>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</si>
  <si>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</si>
  <si>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</si>
  <si>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</si>
  <si>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</si>
  <si>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</si>
  <si>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</si>
  <si>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</si>
  <si>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</si>
  <si>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</si>
  <si>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</si>
  <si>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</si>
  <si>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</si>
  <si>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</si>
  <si>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</si>
  <si>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</si>
  <si>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</si>
  <si>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</si>
  <si>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</si>
  <si>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</si>
  <si>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</si>
  <si>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</si>
  <si>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</si>
  <si>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</si>
  <si>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</si>
  <si>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</si>
  <si>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</si>
  <si>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</si>
  <si>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</si>
  <si>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</si>
  <si>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</si>
  <si>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</si>
  <si>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</si>
  <si>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</si>
  <si>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</si>
  <si>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</si>
  <si>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</si>
  <si>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</si>
  <si>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</si>
  <si>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</si>
  <si>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</si>
  <si>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</si>
  <si>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</si>
  <si>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</si>
  <si>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</si>
  <si>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</si>
  <si>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</si>
  <si>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</si>
  <si>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</si>
  <si>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</si>
  <si>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</si>
  <si>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</si>
  <si>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</si>
  <si>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</si>
  <si>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</si>
  <si>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</si>
  <si>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</si>
  <si>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</si>
  <si>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</si>
  <si>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</si>
  <si>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</si>
  <si>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</si>
  <si>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</si>
  <si>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</si>
  <si>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</si>
  <si>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</si>
  <si>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</si>
  <si>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</si>
  <si>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</si>
  <si>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</si>
  <si>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</si>
  <si>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</si>
  <si>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</si>
  <si>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</si>
  <si>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</si>
  <si>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</si>
  <si>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</si>
  <si>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</si>
  <si>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</si>
  <si>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</si>
  <si>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</si>
  <si>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</si>
  <si>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</si>
  <si>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</si>
  <si>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</si>
  <si>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</si>
  <si>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</si>
  <si>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</si>
  <si>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</si>
  <si>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</si>
  <si>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</si>
  <si>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</si>
  <si>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</si>
  <si>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</si>
  <si>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</si>
  <si>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</si>
  <si>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</si>
  <si>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</si>
  <si>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</si>
  <si>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</si>
  <si>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</si>
  <si>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</si>
  <si>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</si>
  <si>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</si>
  <si>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</si>
  <si>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</si>
  <si>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</si>
  <si>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</si>
  <si>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</si>
  <si>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</si>
  <si>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</si>
  <si>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</si>
  <si>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</si>
  <si>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</si>
  <si>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</si>
  <si>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</si>
  <si>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</si>
  <si>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</si>
  <si>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</si>
  <si>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</si>
  <si>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</si>
  <si>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</si>
  <si>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</si>
  <si>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</si>
  <si>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</si>
  <si>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</si>
  <si>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</si>
  <si>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</si>
  <si>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</si>
  <si>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</si>
  <si>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</si>
  <si>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</si>
  <si>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</si>
  <si>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</si>
  <si>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</si>
  <si>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</si>
  <si>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</si>
  <si>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</si>
  <si>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</si>
  <si>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</si>
  <si>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</si>
  <si>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</si>
  <si>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</si>
  <si>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</si>
  <si>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</si>
  <si>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</si>
  <si>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</si>
  <si>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</si>
  <si>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</si>
  <si>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</si>
  <si>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</si>
  <si>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</si>
  <si>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</si>
  <si>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</si>
  <si>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</si>
  <si>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</si>
  <si>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</si>
  <si>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</si>
  <si>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</si>
  <si>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</si>
  <si>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</si>
  <si>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</si>
  <si>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</si>
  <si>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</si>
  <si>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</si>
  <si>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</si>
  <si>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</si>
  <si>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</si>
  <si>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</si>
  <si>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</si>
  <si>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</si>
  <si>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</si>
  <si>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</si>
  <si>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</si>
  <si>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</si>
  <si>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</si>
  <si>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</si>
  <si>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</si>
  <si>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</si>
  <si>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</si>
  <si>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</si>
  <si>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</si>
  <si>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</si>
  <si>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</si>
  <si>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</si>
  <si>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</si>
  <si>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</si>
  <si>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</si>
  <si>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</si>
  <si>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</si>
  <si>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</si>
  <si>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</si>
  <si>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</si>
  <si>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</si>
  <si>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</si>
  <si>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</si>
  <si>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</si>
  <si>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</si>
  <si>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</si>
  <si>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</si>
  <si>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</si>
  <si>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</si>
  <si>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</si>
  <si>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</si>
  <si>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</si>
  <si>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</si>
  <si>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</si>
  <si>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</si>
  <si>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</si>
  <si>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</si>
  <si>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</si>
  <si>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</si>
  <si>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</si>
  <si>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</si>
  <si>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</si>
  <si>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</si>
  <si>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</si>
  <si>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</si>
  <si>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</si>
  <si>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</si>
  <si>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</si>
  <si>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</si>
  <si>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</si>
  <si>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</si>
  <si>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</si>
  <si>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</si>
  <si>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</si>
  <si>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</si>
  <si>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</si>
  <si>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</si>
  <si>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</si>
  <si>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</si>
  <si>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</si>
  <si>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</si>
  <si>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</si>
  <si>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</si>
  <si>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</si>
  <si>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</si>
  <si>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</si>
  <si>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</si>
  <si>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</si>
  <si>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</si>
  <si>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</si>
  <si>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</si>
  <si>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</si>
  <si>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</si>
  <si>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</si>
  <si>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</si>
  <si>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</si>
  <si>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</si>
  <si>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</si>
  <si>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</si>
  <si>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</si>
  <si>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</si>
  <si>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</si>
  <si>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</si>
  <si>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</si>
  <si>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</si>
  <si>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</si>
  <si>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</si>
  <si>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</si>
  <si>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</si>
  <si>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</si>
  <si>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</si>
  <si>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</si>
  <si>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</si>
  <si>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</si>
  <si>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</si>
  <si>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</si>
  <si>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</si>
  <si>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</si>
  <si>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</si>
  <si>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</si>
  <si>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</si>
  <si>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</si>
  <si>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</si>
  <si>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</si>
  <si>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</si>
  <si>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</si>
  <si>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</si>
  <si>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</si>
  <si>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</si>
  <si>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</si>
  <si>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</si>
  <si>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</si>
  <si>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</si>
  <si>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</si>
  <si>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</si>
  <si>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</si>
  <si>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</si>
  <si>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</si>
  <si>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</si>
  <si>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</si>
  <si>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</si>
  <si>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</si>
  <si>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</si>
  <si>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</si>
  <si>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</si>
  <si>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</si>
  <si>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</si>
  <si>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</si>
  <si>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</si>
  <si>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</si>
  <si>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</si>
  <si>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</si>
  <si>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</si>
  <si>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</si>
  <si>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</si>
  <si>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</si>
  <si>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</si>
  <si>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</si>
  <si>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</si>
  <si>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</si>
  <si>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</si>
  <si>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</si>
  <si>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</si>
  <si>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</si>
  <si>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</si>
  <si>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</si>
  <si>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</si>
  <si>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</si>
  <si>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</si>
  <si>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</si>
  <si>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</si>
  <si>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</si>
  <si>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</si>
  <si>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</si>
  <si>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</si>
  <si>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</si>
  <si>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</si>
  <si>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</si>
  <si>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</si>
  <si>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</si>
  <si>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</si>
  <si>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</si>
  <si>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</si>
  <si>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</si>
  <si>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</si>
  <si>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</si>
  <si>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</si>
  <si>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</si>
  <si>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</si>
  <si>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</si>
  <si>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</si>
  <si>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</si>
  <si>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</si>
  <si>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</si>
  <si>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</si>
  <si>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</si>
  <si>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</si>
  <si>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</si>
  <si>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</si>
  <si>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</si>
  <si>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</si>
  <si>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</si>
  <si>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</si>
  <si>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</si>
  <si>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</si>
  <si>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</si>
  <si>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</si>
  <si>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</si>
  <si>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</si>
  <si>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</si>
  <si>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</si>
  <si>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</si>
  <si>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</si>
  <si>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</si>
  <si>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</si>
  <si>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</si>
  <si>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</si>
  <si>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</si>
  <si>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</si>
  <si>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</si>
  <si>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</si>
  <si>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</si>
  <si>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</si>
  <si>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</si>
  <si>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</si>
  <si>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</si>
  <si>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</si>
  <si>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</si>
  <si>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</si>
  <si>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</si>
  <si>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</si>
  <si>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</si>
  <si>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</si>
  <si>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</si>
  <si>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</si>
  <si>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</si>
  <si>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</si>
  <si>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</si>
  <si>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</si>
  <si>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</si>
  <si>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</si>
  <si>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</si>
  <si>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</si>
  <si>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</si>
  <si>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</si>
  <si>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</si>
  <si>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</si>
  <si>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</si>
  <si>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</si>
  <si>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</si>
  <si>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</si>
  <si>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</si>
  <si>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</si>
  <si>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</si>
  <si>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</si>
  <si>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</si>
  <si>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</si>
  <si>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</si>
  <si>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</si>
  <si>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</si>
  <si>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</si>
  <si>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</si>
  <si>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</si>
  <si>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</si>
  <si>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</si>
  <si>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</si>
  <si>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</si>
  <si>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</si>
  <si>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</si>
  <si>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</si>
  <si>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</si>
  <si>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</si>
  <si>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</si>
  <si>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</si>
  <si>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</si>
  <si>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</si>
  <si>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</si>
  <si>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</si>
  <si>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</si>
  <si>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</si>
  <si>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</si>
  <si>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</si>
  <si>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</si>
  <si>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</si>
  <si>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</si>
  <si>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</si>
  <si>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</si>
  <si>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</si>
  <si>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</si>
  <si>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</si>
  <si>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</si>
  <si>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</si>
  <si>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</si>
  <si>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</si>
  <si>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</si>
  <si>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</si>
  <si>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</si>
  <si>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</si>
  <si>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</si>
  <si>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</si>
  <si>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</si>
  <si>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</si>
  <si>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</si>
  <si>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</si>
  <si>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</si>
  <si>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</si>
  <si>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</si>
  <si>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</si>
  <si>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</si>
  <si>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</si>
  <si>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</si>
  <si>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</si>
  <si>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</si>
  <si>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</si>
  <si>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</si>
  <si>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</si>
  <si>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</si>
  <si>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</si>
  <si>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</si>
  <si>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</si>
  <si>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</si>
  <si>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</si>
  <si>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</si>
  <si>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</si>
  <si>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</si>
  <si>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</si>
  <si>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</si>
  <si>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</si>
  <si>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</si>
  <si>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</si>
  <si>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</si>
  <si>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</si>
  <si>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</si>
  <si>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</si>
  <si>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</si>
  <si>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</si>
  <si>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</si>
  <si>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</si>
  <si>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</si>
  <si>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</si>
  <si>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</si>
  <si>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</si>
  <si>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</si>
  <si>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</si>
  <si>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</si>
  <si>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</si>
  <si>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</si>
  <si>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</si>
  <si>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</si>
  <si>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</si>
  <si>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</si>
  <si>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</si>
  <si>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</si>
  <si>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</si>
  <si>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</si>
  <si>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</si>
  <si>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</si>
  <si>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</si>
  <si>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</si>
  <si>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</si>
  <si>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</si>
  <si>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</si>
  <si>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</si>
  <si>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</si>
  <si>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</si>
  <si>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</si>
  <si>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</si>
  <si>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</si>
  <si>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</si>
  <si>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</si>
  <si>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</si>
  <si>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</si>
  <si>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</si>
  <si>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</si>
  <si>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</si>
  <si>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</si>
  <si>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</si>
  <si>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</si>
  <si>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</si>
  <si>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</si>
  <si>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</si>
  <si>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</si>
  <si>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</si>
  <si>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</si>
  <si>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</si>
  <si>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</si>
  <si>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</si>
  <si>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</si>
  <si>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</si>
  <si>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</si>
  <si>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</si>
  <si>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</si>
  <si>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</si>
  <si>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</si>
  <si>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</si>
  <si>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</si>
  <si>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</si>
  <si>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</si>
  <si>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</si>
  <si>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</si>
  <si>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</si>
  <si>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</si>
  <si>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</si>
  <si>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</si>
  <si>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</si>
  <si>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</si>
  <si>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</si>
  <si>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</si>
  <si>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</si>
  <si>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</si>
  <si>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</si>
  <si>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</si>
  <si>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</si>
  <si>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</si>
  <si>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</si>
  <si>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</si>
  <si>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</si>
  <si>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</si>
  <si>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</si>
  <si>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</si>
  <si>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</si>
  <si>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</si>
  <si>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</si>
  <si>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</si>
  <si>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</si>
  <si>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</si>
  <si>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</si>
  <si>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</si>
  <si>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</si>
  <si>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</si>
  <si>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</si>
  <si>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</si>
  <si>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</si>
  <si>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</si>
  <si>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</si>
  <si>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</si>
  <si>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</si>
  <si>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</si>
  <si>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</si>
  <si>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</si>
  <si>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</si>
  <si>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</si>
  <si>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</si>
  <si>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</si>
  <si>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</si>
  <si>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</si>
  <si>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</si>
  <si>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</si>
  <si>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</si>
  <si>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</si>
  <si>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</si>
  <si>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</si>
  <si>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</si>
  <si>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</si>
  <si>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</si>
  <si>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</si>
  <si>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</si>
  <si>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</si>
  <si>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</si>
  <si>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</si>
  <si>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</si>
  <si>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</si>
  <si>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</si>
  <si>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</si>
  <si>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</si>
  <si>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</si>
  <si>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</si>
  <si>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</si>
  <si>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</si>
  <si>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</si>
  <si>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</si>
  <si>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</si>
  <si>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</si>
  <si>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</si>
  <si>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</si>
  <si>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</si>
  <si>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</si>
  <si>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</si>
  <si>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</si>
  <si>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</si>
  <si>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</si>
  <si>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</si>
  <si>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</si>
  <si>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</si>
  <si>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</si>
  <si>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</si>
  <si>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</si>
  <si>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</si>
  <si>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</si>
  <si>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</si>
  <si>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</si>
  <si>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</si>
  <si>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</si>
  <si>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</si>
  <si>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</si>
  <si>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</si>
  <si>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</si>
  <si>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</si>
  <si>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</si>
  <si>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</si>
  <si>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</si>
  <si>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</si>
  <si>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</si>
  <si>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</si>
  <si>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</si>
  <si>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</si>
  <si>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</si>
  <si>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</si>
  <si>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</si>
  <si>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</si>
  <si>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</si>
  <si>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</si>
  <si>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</si>
  <si>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</si>
  <si>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</si>
  <si>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</si>
  <si>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</si>
  <si>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</si>
  <si>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</si>
  <si>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</si>
  <si>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</si>
  <si>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</si>
  <si>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</si>
  <si>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</si>
  <si>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</si>
  <si>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</si>
  <si>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</si>
  <si>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</si>
  <si>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</si>
  <si>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</si>
  <si>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</si>
  <si>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</si>
  <si>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</si>
  <si>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</si>
  <si>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</si>
  <si>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</si>
  <si>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</si>
  <si>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</si>
  <si>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</si>
  <si>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</si>
  <si>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</si>
  <si>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</si>
  <si>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</si>
  <si>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</si>
  <si>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</si>
  <si>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</si>
  <si>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</si>
  <si>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</si>
  <si>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</si>
  <si>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</si>
  <si>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</si>
  <si>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</si>
  <si>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</si>
  <si>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</si>
  <si>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</si>
  <si>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</si>
  <si>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</si>
  <si>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</si>
  <si>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</si>
  <si>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</si>
  <si>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</si>
  <si>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</si>
  <si>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</si>
  <si>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</si>
  <si>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</si>
  <si>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</si>
  <si>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</si>
  <si>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</si>
  <si>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</si>
  <si>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</si>
  <si>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</si>
  <si>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</si>
  <si>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</si>
  <si>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</si>
  <si>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</si>
  <si>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</si>
  <si>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</si>
  <si>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</si>
  <si>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</si>
  <si>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</si>
  <si>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</si>
  <si>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</si>
  <si>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</si>
  <si>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antonioni</t>
  </si>
  <si>
    <t>Solicitado MC1 às 08h54 para deslocamento entre ZFH-ZEH / Em deslocamento</t>
  </si>
  <si>
    <t>TGR3</t>
  </si>
  <si>
    <t>464TBR/TBR464</t>
  </si>
  <si>
    <t>equipe acionada</t>
  </si>
  <si>
    <t>previsão de mc1 as 9:30h</t>
  </si>
  <si>
    <t>previsão de faixa as 9h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</si>
  <si>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</si>
  <si>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faixa validada com CCO, mc1 as 00:30h</t>
  </si>
  <si>
    <t xml:space="preserve"> </t>
  </si>
  <si>
    <t>N98</t>
  </si>
  <si>
    <t>Evandro</t>
  </si>
  <si>
    <t>Inspeção vagão via ramal de pradópolis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</si>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</sst>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AK321" activePane="bottomRight" state="frozen"/>
      <selection pane="bottomRight" activeCell="AS330" sqref="AS3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1861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1865</v>
      </c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1866</v>
      </c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1867</v>
      </c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1868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>
        <v>1</v>
      </c>
      <c r="BI329" s="16"/>
      <c r="BJ329" s="16" t="s">
        <v>1869</v>
      </c>
      <c r="BK329" s="16" t="s">
        <v>1870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>N9846018</v>
      </c>
      <c r="B338" s="171">
        <v>46018</v>
      </c>
      <c r="C338" s="8">
        <f>IF(BS_CONTROLE[[#This Row],[DATA]]="","",WEEKNUM(BS_CONTROLE[[#This Row],[DATA]]))</f>
        <v>52</v>
      </c>
      <c r="D338" s="51" t="s">
        <v>1871</v>
      </c>
      <c r="E338" s="310">
        <v>318</v>
      </c>
      <c r="F338" s="172" t="s">
        <v>622</v>
      </c>
      <c r="G338" s="9" t="str">
        <f>IF(D338="","*",VLOOKUP(F338,BS_ATIVIDADE[#All],3,FALSE))</f>
        <v>OUTROS</v>
      </c>
      <c r="H338" s="173" t="s">
        <v>1771</v>
      </c>
      <c r="I338" s="173" t="s">
        <v>1771</v>
      </c>
      <c r="J338" s="215">
        <v>72</v>
      </c>
      <c r="K338" s="215">
        <v>7.58</v>
      </c>
      <c r="L338" s="83" t="s">
        <v>608</v>
      </c>
      <c r="M338" s="202" t="s">
        <v>1511</v>
      </c>
      <c r="N338" s="202" t="s">
        <v>1511</v>
      </c>
      <c r="O338" s="173">
        <v>0.375</v>
      </c>
      <c r="P338" s="173">
        <v>1</v>
      </c>
      <c r="Q338" s="83">
        <v>1</v>
      </c>
      <c r="R338" s="10" t="str">
        <f>IFERROR(_xlfn.XLOOKUP(F338, BS_ATIVIDADE[ATIVIDADE],BS_ATIVIDADE[UNIDADE] ), "*")</f>
        <v>BINÁRIO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ARARAQUARA - COLOMBIA</v>
      </c>
      <c r="V338" s="196" t="s">
        <v>1872</v>
      </c>
      <c r="W338" s="173" t="s">
        <v>1873</v>
      </c>
      <c r="X338" s="216"/>
      <c r="Y338" s="158"/>
      <c r="Z338" s="158"/>
      <c r="AA338" s="83">
        <v>2</v>
      </c>
      <c r="AB338" s="70" t="s">
        <v>961</v>
      </c>
      <c r="AC338" s="70" t="s">
        <v>608</v>
      </c>
      <c r="AD338" s="173">
        <v>0.29166666666666669</v>
      </c>
      <c r="AE338" s="83">
        <v>9347</v>
      </c>
      <c r="AF338" s="83"/>
      <c r="AG338" s="83"/>
      <c r="AH338" s="48"/>
      <c r="AI338" s="142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6" t="str">
        <f>IF(BS_CONTROLE[[#This Row],[Local - Partida]]=0, "-", BS_CONTROLE[[#This Row],[Local - Partida]])</f>
        <v>ZTO</v>
      </c>
      <c r="AL338" s="276" t="str">
        <f>IF(BS_CONTROLE[[#This Row],[Local - Encerramento]]=0, "-", BS_CONTROLE[[#This Row],[Local - Encerramento]])</f>
        <v>ZTO</v>
      </c>
      <c r="AM338" s="276" t="str">
        <f>IF(BS_CONTROLE[[#This Row],[Entre - Estações]]=0, "-", BS_CONTROLE[[#This Row],[Entre - Estações]])</f>
        <v>ZTO-ZXE</v>
      </c>
      <c r="AN338" s="276" t="str">
        <f>IF(BS_CONTROLE[[#This Row],[SB]]=0, "-", BS_CONTROLE[[#This Row],[SB]])</f>
        <v>ZTO-ZXE</v>
      </c>
      <c r="AO338" s="277">
        <f>IF(BS_CONTROLE[[#This Row],[SUB]]=0, "-", BS_CONTROLE[[#This Row],[SUB]])</f>
        <v>72</v>
      </c>
      <c r="AP338" s="278">
        <f>IF(BS_CONTROLE[[#This Row],[KM - Inicio]]=0, "-", BS_CONTROLE[[#This Row],[KM - Inicio]])</f>
        <v>7.58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ARARAQUARA - COLOMBIA</v>
      </c>
      <c r="BF338" s="279" t="str">
        <f>IF(BS_CONTROLE[[#This Row],[Responsavel pelo boletim]]=0, "-", BS_CONTROLE[[#This Row],[Responsavel pelo boletim]])</f>
        <v>Evandro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/>
      <c r="P346" s="173"/>
      <c r="Q346" s="83"/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e">
        <f>IF(AND(BR346&lt;1,BS346&lt;1),"Produção e Intervalo",IF(BR346&lt;1,"Intervalo",IF(BS346&lt;1,"Produção","Aderente")))</f>
        <v>#DIV/0!</v>
      </c>
      <c r="BR346" s="18" t="e">
        <f>IF(OR(B346="",F346=""),"*",AY346/P346)</f>
        <v>#DIV/0!</v>
      </c>
      <c r="BS346" s="18" t="e">
        <f>IF(OR(B346="",F346=""),"*",BA346/Q346)</f>
        <v>#DIV/0!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1874</v>
      </c>
      <c r="D5" s="386"/>
      <c r="E5" s="386"/>
      <c r="F5" s="386"/>
      <c r="G5" s="386"/>
      <c r="H5" s="386"/>
      <c r="I5" s="386"/>
      <c r="J5" s="387"/>
      <c r="K5" s="388" t="s">
        <v>1875</v>
      </c>
      <c r="L5" s="389"/>
      <c r="M5" s="389"/>
      <c r="N5" s="389"/>
      <c r="O5" s="390" t="s">
        <v>1876</v>
      </c>
      <c r="P5" s="391"/>
      <c r="Q5" s="392"/>
    </row>
    <row r="6" spans="1:17" s="93" customFormat="1" ht="15.75" customHeight="1">
      <c r="A6" s="87" t="s">
        <v>1877</v>
      </c>
      <c r="B6" s="94" t="s">
        <v>1878</v>
      </c>
      <c r="C6" s="95" t="s">
        <v>1171</v>
      </c>
      <c r="D6" s="96" t="s">
        <v>1172</v>
      </c>
      <c r="E6" s="95" t="s">
        <v>1879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1880</v>
      </c>
      <c r="M6" s="139" t="s">
        <v>627</v>
      </c>
      <c r="N6" s="140" t="s">
        <v>1166</v>
      </c>
      <c r="O6" s="244" t="s">
        <v>1209</v>
      </c>
      <c r="P6" s="157"/>
      <c r="Q6" s="192" t="s">
        <v>1881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previsão de mc1 as 9:30h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>previsão de faixa as 9h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>
        <f>IF(FN_MC!B338="","*",FN_MC!B338)</f>
        <v>46018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N98</v>
      </c>
      <c r="F338" s="99" t="str">
        <f>IF(FN_MC!H338="","*",FN_MC!H338)</f>
        <v>ZTO</v>
      </c>
      <c r="G338" s="99" t="str">
        <f>IF(FN_MC!M338="","*",FN_MC!M338)</f>
        <v>ZTO-ZXE</v>
      </c>
      <c r="H338" s="154">
        <f>IF(FN_MC!K338="","*",FN_MC!K338)</f>
        <v>7.58</v>
      </c>
      <c r="I338" s="132">
        <f>IF(FN_MC!O338="","*",FN_MC!O338)</f>
        <v>0.375</v>
      </c>
      <c r="J338" s="132">
        <f>IF(FN_MC!P338="","*",FN_MC!P338)</f>
        <v>1</v>
      </c>
      <c r="K338" s="141" t="str">
        <f>IF(FN_MC!AK338="","*",FN_MC!AK338)</f>
        <v>ZTO</v>
      </c>
      <c r="L338" s="141" t="str">
        <f>IF(FN_MC!AM338="","*",FN_MC!AM338)</f>
        <v>ZTO-ZXE</v>
      </c>
      <c r="M338" s="141">
        <f>IF(FN_MC!AP338="","*",FN_MC!AP338)</f>
        <v>7.58</v>
      </c>
      <c r="N338" s="141" t="str">
        <f>IF(FN_MC!AM338="","*",FN_MC!AM338)</f>
        <v>ZTO-ZXE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1882</v>
      </c>
      <c r="W1" s="398"/>
      <c r="X1" s="398"/>
      <c r="Y1" s="104"/>
    </row>
    <row r="2" spans="1:25" s="100" customFormat="1" ht="11.25" customHeight="1">
      <c r="A2" s="105" t="s">
        <v>1883</v>
      </c>
      <c r="B2" s="105" t="s">
        <v>1878</v>
      </c>
      <c r="C2" s="105" t="s">
        <v>603</v>
      </c>
      <c r="D2" s="106" t="s">
        <v>1171</v>
      </c>
      <c r="E2" s="106" t="s">
        <v>1172</v>
      </c>
      <c r="F2" s="106" t="s">
        <v>1877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1884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>
        <f>IF(FN_MC!B338="","*",FN_MC!B338)</f>
        <v>46018</v>
      </c>
      <c r="G336" s="110" t="str">
        <f>IF(FN_MC!D338="","*",FN_MC!D338)</f>
        <v>N98</v>
      </c>
      <c r="H336" s="110" t="str">
        <f>IF(FN_MC!F338="","*",FN_MC!F338)</f>
        <v>DESLOCAMENTO</v>
      </c>
      <c r="I336" s="110" t="str">
        <f>IF(FN_MC!H338="","*",FN_MC!H338)</f>
        <v>ZTO</v>
      </c>
      <c r="J336" s="110" t="str">
        <f>IF(FN_MC!I338="","*",FN_MC!I338)</f>
        <v>ZTO</v>
      </c>
      <c r="K336" s="110" t="str">
        <f>IF(FN_MC!M338="","*",FN_MC!M338)</f>
        <v>ZTO-ZXE</v>
      </c>
      <c r="L336" s="110" t="str">
        <f>IF(FN_MC!N338="","*",FN_MC!N338)</f>
        <v>ZTO-ZXE</v>
      </c>
      <c r="M336" s="111">
        <f>IF(FN_MC!J338="","*",FN_MC!J338)</f>
        <v>72</v>
      </c>
      <c r="N336" s="288">
        <f>IF(FN_MC!K338="","*",FN_MC!K338)</f>
        <v>7.58</v>
      </c>
      <c r="O336" s="288" t="str">
        <f>IF(FN_MC!L338="","*",FN_MC!L338)</f>
        <v>-</v>
      </c>
      <c r="P336" s="111"/>
      <c r="Q336" s="128">
        <f>IF(FN_MC!O338="","*",FN_MC!O338)</f>
        <v>0.375</v>
      </c>
      <c r="R336" s="128">
        <f>IF(FN_MC!P338="","*",FN_MC!P338)</f>
        <v>1</v>
      </c>
      <c r="S336" s="110" t="str">
        <f>IF(FN_MC!Q338="","*",CONCATENATE(FN_MC!Q338," ",FN_MC!R338))</f>
        <v>1 BINÁRIO</v>
      </c>
      <c r="T336" s="110" t="str">
        <f>IF(FN_MC!V338="","*",FN_MC!V338)</f>
        <v>Evandro</v>
      </c>
      <c r="U336" s="110" t="str">
        <f>IF(FN_MC!W338="","*",FN_MC!W338)</f>
        <v>Inspeção vagão via ramal de pradópolis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1885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1886</v>
      </c>
      <c r="C2" s="95" t="s">
        <v>1157</v>
      </c>
      <c r="D2" s="95" t="s">
        <v>596</v>
      </c>
      <c r="E2" s="95" t="s">
        <v>1887</v>
      </c>
      <c r="F2" s="95" t="s">
        <v>1888</v>
      </c>
      <c r="G2" s="95" t="s">
        <v>1889</v>
      </c>
      <c r="H2" s="95" t="s">
        <v>1890</v>
      </c>
      <c r="I2" s="95" t="s">
        <v>1891</v>
      </c>
      <c r="J2" s="95" t="s">
        <v>1892</v>
      </c>
      <c r="K2" s="131" t="s">
        <v>1893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>
        <f>IF(FN_MC!B338="","*",FN_MC!B338)</f>
        <v>46018</v>
      </c>
      <c r="D336" s="121" t="str">
        <f>IF(FN_MC!D338="","*",FN_MC!D338)</f>
        <v>N98</v>
      </c>
      <c r="E336" s="121" t="str">
        <f>IF(FN_MC!H338="","*",FN_MC!H338)</f>
        <v>ZTO</v>
      </c>
      <c r="F336" s="137" t="str">
        <f>IF(FN_MC!M338="","*",FN_MC!M338)</f>
        <v>ZTO-ZXE</v>
      </c>
      <c r="G336" s="121" t="str">
        <f>IF(FN_MC!I338="","*",FN_MC!I338)</f>
        <v>ZTO</v>
      </c>
      <c r="H336" s="121" t="str">
        <f>IF(FN_MC!AB338="","*",FN_MC!AB338)</f>
        <v>ESCALA</v>
      </c>
      <c r="I336" s="121" t="str">
        <f>IF(FN_MC!AC338="","*",FN_MC!AC338)</f>
        <v>-</v>
      </c>
      <c r="J336" s="122">
        <f>IF(FN_MC!AA338="","*",FN_MC!AA338)</f>
        <v>2</v>
      </c>
      <c r="K336" s="134">
        <f>IF(FN_MC!AD338="","*",FN_MC!AD338)</f>
        <v>0.29166666666666669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1894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1895</v>
      </c>
      <c r="C4" s="318" t="s">
        <v>1896</v>
      </c>
      <c r="D4" s="318" t="s">
        <v>1897</v>
      </c>
      <c r="E4" s="318" t="s">
        <v>1898</v>
      </c>
      <c r="F4" s="318" t="s">
        <v>6</v>
      </c>
      <c r="G4" s="318" t="s">
        <v>1899</v>
      </c>
      <c r="H4" s="191"/>
    </row>
    <row r="5" spans="1:8">
      <c r="A5" s="191"/>
      <c r="B5" s="319" t="s">
        <v>1900</v>
      </c>
      <c r="C5" s="319">
        <v>309525</v>
      </c>
      <c r="D5" s="319" t="s">
        <v>1901</v>
      </c>
      <c r="E5" s="319" t="s">
        <v>844</v>
      </c>
      <c r="F5" s="319" t="s">
        <v>1902</v>
      </c>
      <c r="G5" s="320">
        <v>46296</v>
      </c>
      <c r="H5" s="191"/>
    </row>
    <row r="6" spans="1:8">
      <c r="A6" s="191"/>
      <c r="B6" s="319" t="s">
        <v>1903</v>
      </c>
      <c r="C6" s="319">
        <v>256875</v>
      </c>
      <c r="D6" s="319" t="s">
        <v>1904</v>
      </c>
      <c r="E6" s="319" t="s">
        <v>844</v>
      </c>
      <c r="F6" s="319" t="s">
        <v>1902</v>
      </c>
      <c r="G6" s="320">
        <v>46296</v>
      </c>
      <c r="H6" s="191"/>
    </row>
    <row r="7" spans="1:8">
      <c r="A7" s="191"/>
      <c r="B7" s="319" t="s">
        <v>1905</v>
      </c>
      <c r="C7" s="319">
        <v>257278</v>
      </c>
      <c r="D7" s="319" t="s">
        <v>1906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1907</v>
      </c>
      <c r="C8" s="319">
        <v>261794</v>
      </c>
      <c r="D8" s="319" t="s">
        <v>1908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1909</v>
      </c>
      <c r="C9" s="319">
        <v>257033</v>
      </c>
      <c r="D9" s="319" t="s">
        <v>1910</v>
      </c>
      <c r="E9" s="319" t="s">
        <v>835</v>
      </c>
      <c r="F9" s="319" t="s">
        <v>192</v>
      </c>
      <c r="G9" s="319" t="s">
        <v>1911</v>
      </c>
      <c r="H9" s="191"/>
    </row>
    <row r="10" spans="1:8">
      <c r="A10" s="191"/>
      <c r="B10" s="319" t="s">
        <v>1912</v>
      </c>
      <c r="C10" s="319">
        <v>396578</v>
      </c>
      <c r="D10" s="319" t="s">
        <v>1913</v>
      </c>
      <c r="E10" s="319" t="s">
        <v>835</v>
      </c>
      <c r="F10" s="319" t="s">
        <v>192</v>
      </c>
      <c r="G10" s="319" t="s">
        <v>1911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1914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1915</v>
      </c>
      <c r="E3" s="315" t="s">
        <v>1916</v>
      </c>
      <c r="F3" s="315" t="s">
        <v>1917</v>
      </c>
      <c r="G3" s="315" t="s">
        <v>1918</v>
      </c>
      <c r="H3" s="315" t="s">
        <v>1919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2025-12-26T11:28:01Z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