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39" documentId="8_{B6337239-1A00-434D-AAD0-422EA1FEB5AE}" xr6:coauthVersionLast="47" xr6:coauthVersionMax="47" xr10:uidLastSave="{10727603-3517-4878-BEF8-4688297EB49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0" i="1" l="1" a="1"/>
  <c r="N250" i="1" s="1"/>
  <c r="M250" i="1" a="1"/>
  <c r="M250" i="1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AM247" i="1"/>
  <c r="AN247" i="1"/>
  <c r="R247" i="1"/>
  <c r="S247" i="1" a="1"/>
  <c r="S247" i="1" s="1"/>
  <c r="T247" i="1" a="1"/>
  <c r="T247" i="1" s="1"/>
  <c r="U247" i="1"/>
  <c r="AI247" i="1"/>
  <c r="BB247" i="1" s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T248" i="1" a="1"/>
  <c r="T248" i="1" s="1"/>
  <c r="U248" i="1"/>
  <c r="AI248" i="1"/>
  <c r="BB248" i="1" s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T250" i="1" a="1"/>
  <c r="T250" i="1" s="1"/>
  <c r="E245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0" i="1" l="1"/>
  <c r="AJ249" i="1"/>
  <c r="AJ248" i="1"/>
  <c r="AJ247" i="1"/>
  <c r="AJ244" i="1"/>
  <c r="AJ243" i="1"/>
  <c r="AJ241" i="1"/>
  <c r="AJ227" i="1"/>
  <c r="BD476" i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<sst xmlns="http://schemas.openxmlformats.org/spreadsheetml/2006/main" count="8179" uniqueCount="1827">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</sst>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V225" activePane="topRight" state="frozen"/>
      <selection pane="topRight" activeCell="AH250" sqref="AH25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1758</v>
      </c>
      <c r="N227" s="204" t="s">
        <v>1759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1760</v>
      </c>
      <c r="W227" s="173" t="s">
        <v>1761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1762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1763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1764</v>
      </c>
      <c r="BK228" s="16" t="s">
        <v>1765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1764</v>
      </c>
      <c r="BK229" s="16" t="s">
        <v>1766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1768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1769</v>
      </c>
      <c r="N231" s="204" t="s">
        <v>1770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1771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1772</v>
      </c>
      <c r="BK231" s="16" t="s">
        <v>1773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Intervalo</v>
      </c>
      <c r="BR231" s="18">
        <f t="shared" ref="BR231:BR294" si="38">IF(OR(B231="",F231=""),"*",AY231/P231)</f>
        <v>0.99999999999999911</v>
      </c>
      <c r="BS231" s="18">
        <f t="shared" ref="BS231:BS294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1774</v>
      </c>
      <c r="N232" s="204" t="s">
        <v>1775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1776</v>
      </c>
      <c r="W232" s="173" t="s">
        <v>1761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1777</v>
      </c>
      <c r="BK232" s="16" t="s">
        <v>1778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1779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1780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1781</v>
      </c>
      <c r="BK233" s="16" t="s">
        <v>1782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1783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1784</v>
      </c>
      <c r="W234" s="173" t="s">
        <v>1785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1781</v>
      </c>
      <c r="BK234" s="16" t="s">
        <v>1782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1784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1756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811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1802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1803</v>
      </c>
      <c r="BK245" s="16" t="s">
        <v>1803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1803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>
      <c r="A247" s="50" t="str">
        <f t="shared" si="36"/>
        <v>FRANCENILDO (TF-513)45980</v>
      </c>
      <c r="B247" s="171">
        <v>45980</v>
      </c>
      <c r="C247" s="8">
        <f>IF(BS_CONTROLE[[#This Row],[DATA]]="","",WEEKNUM(BS_CONTROLE[[#This Row],[DATA]]))</f>
        <v>47</v>
      </c>
      <c r="D247" s="51" t="s">
        <v>888</v>
      </c>
      <c r="E247" s="314">
        <v>239</v>
      </c>
      <c r="F247" s="172" t="s">
        <v>790</v>
      </c>
      <c r="G247" s="9" t="str">
        <f>IF(D247="","*",VLOOKUP(F247,BS_ATIVIDADE[#All],3,FALSE))</f>
        <v>SOLDA</v>
      </c>
      <c r="H247" s="173" t="s">
        <v>607</v>
      </c>
      <c r="I247" s="173" t="s">
        <v>607</v>
      </c>
      <c r="J247" s="217">
        <v>74</v>
      </c>
      <c r="K247" s="217">
        <v>164.2</v>
      </c>
      <c r="L247" s="83" t="s">
        <v>607</v>
      </c>
      <c r="M247" s="204" t="s">
        <v>1769</v>
      </c>
      <c r="N247" s="204" t="s">
        <v>1770</v>
      </c>
      <c r="O247" s="173">
        <v>0.375</v>
      </c>
      <c r="P247" s="173">
        <v>6.25E-2</v>
      </c>
      <c r="Q247" s="83">
        <v>1</v>
      </c>
      <c r="R247" s="10" t="str">
        <f>IFERROR(_xlfn.XLOOKUP(F247, BS_ATIVIDADE[ATIVIDADE],BS_ATIVIDADE[UNIDADE] ), "*")</f>
        <v>Nº DE SOLDA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BASE_MAPA!$D$2:$D$359, BASE_MAPA!$E$2:$E$359), "ERRO")</f>
        <v>MARCO INICIAL - ALTO ARAGUAIA</v>
      </c>
      <c r="V247" s="198" t="s">
        <v>1804</v>
      </c>
      <c r="W247" s="173" t="s">
        <v>1216</v>
      </c>
      <c r="X247" s="218" t="s">
        <v>957</v>
      </c>
      <c r="Y247" s="158"/>
      <c r="Z247" s="158" t="s">
        <v>953</v>
      </c>
      <c r="AA247" s="83" t="s">
        <v>607</v>
      </c>
      <c r="AB247" s="70" t="s">
        <v>607</v>
      </c>
      <c r="AC247" s="70" t="s">
        <v>607</v>
      </c>
      <c r="AD247" s="173" t="s">
        <v>607</v>
      </c>
      <c r="AE247" s="83" t="s">
        <v>607</v>
      </c>
      <c r="AF247" s="83" t="s">
        <v>607</v>
      </c>
      <c r="AG247" s="83" t="s">
        <v>607</v>
      </c>
      <c r="AH247" s="48"/>
      <c r="AI247" s="142" t="str">
        <f>IF(BS_CONTROLE[[#This Row],[Atividade]]=0, "-", BS_CONTROLE[[#This Row],[Atividade]])</f>
        <v>PDM - SOLDA</v>
      </c>
      <c r="AJ247" s="9" t="str">
        <f>IF(D247="","*",VLOOKUP(AI247,BS_ATIVIDADE[#Data],3,FALSE))</f>
        <v>SOLDA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 xml:space="preserve">TCE-S </v>
      </c>
      <c r="AN247" s="278" t="str">
        <f>IF(BS_CONTROLE[[#This Row],[SB]]=0, "-", BS_CONTROLE[[#This Row],[SB]])</f>
        <v>TCES</v>
      </c>
      <c r="AO247" s="279">
        <f>IF(BS_CONTROLE[[#This Row],[SUB]]=0, "-", BS_CONTROLE[[#This Row],[SUB]])</f>
        <v>74</v>
      </c>
      <c r="AP247" s="280">
        <f>IF(BS_CONTROLE[[#This Row],[KM - Inicio]]=0, "-", BS_CONTROLE[[#This Row],[KM - Inicio]])</f>
        <v>164.2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Nº DE SOLDA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BASE_MAPA!$D$2:$D$359, BASE_MAPA!$E$2:$E$359), "ERRO")</f>
        <v>MARCO INICIAL - ALTO ARAGUAIA</v>
      </c>
      <c r="BF247" s="281" t="str">
        <f>IF(BS_CONTROLE[[#This Row],[Responsavel pelo boletim]]=0, "-", BS_CONTROLE[[#This Row],[Responsavel pelo boletim]])</f>
        <v>Francenildo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Produção e Intervalo</v>
      </c>
      <c r="BR247" s="18">
        <f t="shared" si="38"/>
        <v>0</v>
      </c>
      <c r="BS247" s="18">
        <f t="shared" si="39"/>
        <v>0</v>
      </c>
      <c r="BT247" s="225" t="str">
        <f t="shared" si="40"/>
        <v/>
      </c>
    </row>
    <row r="248" spans="1:72">
      <c r="A248" s="50" t="str">
        <f t="shared" si="36"/>
        <v>E4045980</v>
      </c>
      <c r="B248" s="171">
        <v>45980</v>
      </c>
      <c r="C248" s="8">
        <f>IF(BS_CONTROLE[[#This Row],[DATA]]="","",WEEKNUM(BS_CONTROLE[[#This Row],[DATA]]))</f>
        <v>47</v>
      </c>
      <c r="D248" s="51" t="s">
        <v>752</v>
      </c>
      <c r="E248" s="314">
        <v>240</v>
      </c>
      <c r="F248" s="172" t="s">
        <v>621</v>
      </c>
      <c r="G248" s="9" t="str">
        <f>IF(D248="","*",VLOOKUP(F248,BS_ATIVIDADE[#All],3,FALSE))</f>
        <v>OUTROS</v>
      </c>
      <c r="H248" s="173" t="s">
        <v>405</v>
      </c>
      <c r="I248" s="173" t="s">
        <v>1783</v>
      </c>
      <c r="J248" s="217">
        <v>74</v>
      </c>
      <c r="K248" s="217">
        <v>111</v>
      </c>
      <c r="L248" s="83" t="s">
        <v>607</v>
      </c>
      <c r="M248" s="204" t="s">
        <v>1805</v>
      </c>
      <c r="N248" s="204" t="s">
        <v>1806</v>
      </c>
      <c r="O248" s="173">
        <v>0.58333333333333337</v>
      </c>
      <c r="P248" s="173">
        <v>4.1666666666666664E-2</v>
      </c>
      <c r="Q248" s="83">
        <v>1</v>
      </c>
      <c r="R248" s="10" t="str">
        <f>IFERROR(_xlfn.XLOOKUP(F248, BS_ATIVIDADE[ATIVIDADE],BS_ATIVIDADE[UNIDADE] ), "*")</f>
        <v>BINÁRIO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1755</v>
      </c>
      <c r="W248" s="173" t="s">
        <v>1807</v>
      </c>
      <c r="X248" s="218" t="s">
        <v>957</v>
      </c>
      <c r="Y248" s="158"/>
      <c r="Z248" s="158" t="s">
        <v>962</v>
      </c>
      <c r="AA248" s="83">
        <v>1</v>
      </c>
      <c r="AB248" s="70" t="s">
        <v>954</v>
      </c>
      <c r="AC248" s="70" t="s">
        <v>955</v>
      </c>
      <c r="AD248" s="173">
        <v>0.54166666666666663</v>
      </c>
      <c r="AE248" s="83">
        <v>9287</v>
      </c>
      <c r="AF248" s="83">
        <v>9323</v>
      </c>
      <c r="AG248" s="83" t="s">
        <v>607</v>
      </c>
      <c r="AH248" s="48"/>
      <c r="AI248" s="142" t="str">
        <f>IF(BS_CONTROLE[[#This Row],[Atividade]]=0, "-", BS_CONTROLE[[#This Row],[Atividade]])</f>
        <v>DESLOCAMENTO</v>
      </c>
      <c r="AJ248" s="9" t="str">
        <f>IF(D248="","*",VLOOKUP(AI248,BS_ATIVIDADE[#Data],3,FALSE))</f>
        <v>OUTROS</v>
      </c>
      <c r="AK248" s="278" t="str">
        <f>IF(BS_CONTROLE[[#This Row],[Local - Partida]]=0, "-", BS_CONTROLE[[#This Row],[Local - Partida]])</f>
        <v>TIN2</v>
      </c>
      <c r="AL248" s="278" t="str">
        <f>IF(BS_CONTROLE[[#This Row],[Local - Encerramento]]=0, "-", BS_CONTROLE[[#This Row],[Local - Encerramento]])</f>
        <v>ZJA2</v>
      </c>
      <c r="AM248" s="278" t="str">
        <f>IF(BS_CONTROLE[[#This Row],[Entre - Estações]]=0, "-", BS_CONTROLE[[#This Row],[Entre - Estações]])</f>
        <v>TIN-ZJA</v>
      </c>
      <c r="AN248" s="278" t="str">
        <f>IF(BS_CONTROLE[[#This Row],[SB]]=0, "-", BS_CONTROLE[[#This Row],[SB]])</f>
        <v>TINZJA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111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BINÁRIO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 xml:space="preserve">PCM 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/>
    </row>
    <row r="249" spans="1:72">
      <c r="A249" s="50" t="str">
        <f t="shared" si="36"/>
        <v>ANISIO (TF-514)45980</v>
      </c>
      <c r="B249" s="171">
        <v>45980</v>
      </c>
      <c r="C249" s="8">
        <f>IF(BS_CONTROLE[[#This Row],[DATA]]="","",WEEKNUM(BS_CONTROLE[[#This Row],[DATA]]))</f>
        <v>47</v>
      </c>
      <c r="D249" s="51" t="s">
        <v>860</v>
      </c>
      <c r="E249" s="314">
        <v>241</v>
      </c>
      <c r="F249" s="172" t="s">
        <v>768</v>
      </c>
      <c r="G249" s="9" t="str">
        <f>IF(D249="","*",VLOOKUP(F249,BS_ATIVIDADE[#All],3,FALSE))</f>
        <v>AMV</v>
      </c>
      <c r="H249" s="173" t="s">
        <v>607</v>
      </c>
      <c r="I249" s="173" t="s">
        <v>607</v>
      </c>
      <c r="J249" s="217">
        <v>74</v>
      </c>
      <c r="K249" s="217">
        <v>87.192999999999998</v>
      </c>
      <c r="L249" s="83" t="s">
        <v>607</v>
      </c>
      <c r="M249" s="204" t="s">
        <v>1774</v>
      </c>
      <c r="N249" s="204" t="s">
        <v>1775</v>
      </c>
      <c r="O249" s="173">
        <v>0.41666666666666669</v>
      </c>
      <c r="P249" s="173">
        <v>6.25E-2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1776</v>
      </c>
      <c r="W249" s="173" t="s">
        <v>1761</v>
      </c>
      <c r="X249" s="218" t="s">
        <v>957</v>
      </c>
      <c r="Y249" s="158"/>
      <c r="Z249" s="158" t="s">
        <v>958</v>
      </c>
      <c r="AA249" s="83" t="s">
        <v>607</v>
      </c>
      <c r="AB249" s="70" t="s">
        <v>607</v>
      </c>
      <c r="AC249" s="70" t="s">
        <v>607</v>
      </c>
      <c r="AD249" s="173" t="s">
        <v>607</v>
      </c>
      <c r="AE249" s="83" t="s">
        <v>607</v>
      </c>
      <c r="AF249" s="83" t="s">
        <v>607</v>
      </c>
      <c r="AG249" s="83" t="s">
        <v>607</v>
      </c>
      <c r="AH249" s="48"/>
      <c r="AI249" s="142" t="str">
        <f>IF(BS_CONTROLE[[#This Row],[Atividade]]=0, "-", BS_CONTROLE[[#This Row],[Atividade]])</f>
        <v>PDM - AMV - MEIA CHAVE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TSP-N</v>
      </c>
      <c r="AN249" s="278" t="str">
        <f>IF(BS_CONTROLE[[#This Row],[SB]]=0, "-", BS_CONTROLE[[#This Row],[SB]])</f>
        <v>TSPN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87.192999999999998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>Anisio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E1745980</v>
      </c>
      <c r="B250" s="171">
        <v>45980</v>
      </c>
      <c r="C250" s="8">
        <f>IF(BS_CONTROLE[[#This Row],[DATA]]="","",WEEKNUM(BS_CONTROLE[[#This Row],[DATA]]))</f>
        <v>47</v>
      </c>
      <c r="D250" s="51" t="s">
        <v>750</v>
      </c>
      <c r="E250" s="314">
        <v>242</v>
      </c>
      <c r="F250" s="172" t="s">
        <v>609</v>
      </c>
      <c r="G250" s="9" t="str">
        <f>IF(D250="","*",VLOOKUP(F250,BS_ATIVIDADE[#All],3,FALSE))</f>
        <v>CAMINHÂO - SOLDA</v>
      </c>
      <c r="H250" s="173" t="s">
        <v>97</v>
      </c>
      <c r="I250" s="173" t="s">
        <v>97</v>
      </c>
      <c r="J250" s="217">
        <v>78</v>
      </c>
      <c r="K250" s="217">
        <v>244</v>
      </c>
      <c r="L250" s="83">
        <v>249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0" s="173">
        <v>0.375</v>
      </c>
      <c r="P250" s="173">
        <v>0.125</v>
      </c>
      <c r="Q250" s="83">
        <v>3</v>
      </c>
      <c r="R250" s="10" t="str">
        <f>IFERROR(_xlfn.XLOOKUP(F250, BS_ATIVIDADE[ATIVIDADE],BS_ATIVIDADE[UNIDADE] ), "*")</f>
        <v>Nº DE SOLDA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0" s="80" t="str">
        <f>IFERROR(_xlfn.XLOOKUP(J250, BASE_MAPA!$D$2:$D$359, BASE_MAPA!$E$2:$E$359), "ERRO")</f>
        <v>ITIRAPINA - BAURU</v>
      </c>
      <c r="V250" s="198" t="s">
        <v>1358</v>
      </c>
      <c r="W250" s="173" t="s">
        <v>1408</v>
      </c>
      <c r="X250" s="218" t="s">
        <v>957</v>
      </c>
      <c r="Y250" s="158"/>
      <c r="Z250" s="158" t="s">
        <v>953</v>
      </c>
      <c r="AA250" s="83">
        <v>1</v>
      </c>
      <c r="AB250" s="70" t="s">
        <v>948</v>
      </c>
      <c r="AC250" s="70" t="s">
        <v>607</v>
      </c>
      <c r="AD250" s="173">
        <v>0.29166666666666669</v>
      </c>
      <c r="AE250" s="83">
        <v>6251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CAMINHÃO DE SOLDA</v>
      </c>
      <c r="AJ250" s="9" t="str">
        <f>IF(D250="","*",VLOOKUP(AI250,BS_ATIVIDADE[#Data],3,FALSE))</f>
        <v>CAMINHÂO - SOLDA</v>
      </c>
      <c r="AK250" s="278" t="str">
        <f>IF(BS_CONTROLE[[#This Row],[Local - Partida]]=0, "-", BS_CONTROLE[[#This Row],[Local - Partida]])</f>
        <v>ZVT1</v>
      </c>
      <c r="AL250" s="278" t="str">
        <f>IF(BS_CONTROLE[[#This Row],[Local - Encerramento]]=0, "-", BS_CONTROLE[[#This Row],[Local - Encerramento]])</f>
        <v>ZVT1</v>
      </c>
      <c r="AM250" s="278" t="str">
        <f>IF(BS_CONTROLE[[#This Row],[Entre - Estações]]=0, "-", BS_CONTROLE[[#This Row],[Entre - Estações]])</f>
        <v>ZVT-ZDK</v>
      </c>
      <c r="AN250" s="278" t="str">
        <f>IF(BS_CONTROLE[[#This Row],[SB]]=0, "-", BS_CONTROLE[[#This Row],[SB]])</f>
        <v>ZVTZDK</v>
      </c>
      <c r="AO250" s="279">
        <f>IF(BS_CONTROLE[[#This Row],[SUB]]=0, "-", BS_CONTROLE[[#This Row],[SUB]])</f>
        <v>78</v>
      </c>
      <c r="AP250" s="280">
        <f>IF(BS_CONTROLE[[#This Row],[KM - Inicio]]=0, "-", BS_CONTROLE[[#This Row],[KM - Inicio]])</f>
        <v>244</v>
      </c>
      <c r="AQ250" s="280">
        <f>IF(BS_CONTROLE[[#This Row],[KM - Fim]]=0, "-", BS_CONTROLE[[#This Row],[KM - Fim]])</f>
        <v>249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SOLDA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0" s="11" t="str">
        <f>IFERROR(_xlfn.XLOOKUP(AO250, BASE_MAPA!$D$2:$D$359, BASE_MAPA!$E$2:$E$359), "ERRO")</f>
        <v>ITIRAPINA - BAURU</v>
      </c>
      <c r="BF250" s="281" t="str">
        <f>IF(BS_CONTROLE[[#This Row],[Responsavel pelo boletim]]=0, "-", BS_CONTROLE[[#This Row],[Responsavel pelo boletim]])</f>
        <v>Higor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5" operator="equal">
      <formula>"OPORTUNIDADE"</formula>
    </cfRule>
  </conditionalFormatting>
  <conditionalFormatting sqref="AZ6:AZ525">
    <cfRule type="expression" dxfId="3439" priority="24990">
      <formula>$BU6=1</formula>
    </cfRule>
  </conditionalFormatting>
  <conditionalFormatting sqref="BQ6:BQ602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5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8:X525">
    <cfRule type="cellIs" dxfId="3428" priority="24930" operator="equal">
      <formula>"OPORTUNIDADE"</formula>
    </cfRule>
  </conditionalFormatting>
  <conditionalFormatting sqref="Z478:Z525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8:Z525">
    <cfRule type="cellIs" dxfId="3425" priority="24927" operator="equal">
      <formula>"OPORTUNIDADE"</formula>
    </cfRule>
  </conditionalFormatting>
  <conditionalFormatting sqref="Y1048556:Y1048576">
    <cfRule type="cellIs" dxfId="3424" priority="24812" operator="equal">
      <formula>"OPORTUNIDADE"</formula>
    </cfRule>
  </conditionalFormatting>
  <conditionalFormatting sqref="Y1048556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6:Z551">
    <cfRule type="cellIs" dxfId="3421" priority="24547" operator="equal">
      <formula>"OPORTUNIDADE"</formula>
    </cfRule>
  </conditionalFormatting>
  <conditionalFormatting sqref="Z526:Z551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2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2">
    <cfRule type="cellIs" dxfId="3416" priority="24532" operator="equal">
      <formula>"OPORTUNIDADE"</formula>
    </cfRule>
  </conditionalFormatting>
  <conditionalFormatting sqref="Z552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2">
    <cfRule type="cellIs" dxfId="3413" priority="24529" operator="equal">
      <formula>"OPORTUNIDADE"</formula>
    </cfRule>
  </conditionalFormatting>
  <conditionalFormatting sqref="BI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9">
      <formula>$BU495=1</formula>
    </cfRule>
  </conditionalFormatting>
  <conditionalFormatting sqref="AZ528:AZ552">
    <cfRule type="expression" dxfId="3411" priority="25309">
      <formula>$BU500=1</formula>
    </cfRule>
  </conditionalFormatting>
  <conditionalFormatting sqref="BI526:BI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207:BO602 BO6:BO199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35 BK238:BK244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1808</v>
      </c>
      <c r="W1" s="366"/>
      <c r="X1" s="366"/>
      <c r="Y1" s="104"/>
    </row>
    <row r="2" spans="1:25" s="100" customFormat="1" ht="11.25" customHeight="1">
      <c r="A2" s="105" t="s">
        <v>1809</v>
      </c>
      <c r="B2" s="105" t="s">
        <v>1810</v>
      </c>
      <c r="C2" s="105" t="s">
        <v>603</v>
      </c>
      <c r="D2" s="106" t="s">
        <v>1164</v>
      </c>
      <c r="E2" s="106" t="s">
        <v>1165</v>
      </c>
      <c r="F2" s="106" t="s">
        <v>1811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1812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Oportunidade</v>
      </c>
      <c r="C245" s="109" t="str">
        <f>IF(FN_MC!Z250="","*",FN_MC!Z250)</f>
        <v>P0</v>
      </c>
      <c r="D245" s="110" t="str">
        <f>IF(FN_MC!S250="","*",FN_MC!S250)</f>
        <v>MALHA CENTRAL</v>
      </c>
      <c r="E245" s="110" t="str">
        <f>IF(FN_MC!T250="","*",FN_MC!T250)</f>
        <v>RAMAL</v>
      </c>
      <c r="F245" s="110">
        <f>IF(FN_MC!B250="","*",FN_MC!B250)</f>
        <v>45980</v>
      </c>
      <c r="G245" s="110" t="str">
        <f>IF(FN_MC!D250="","*",FN_MC!D250)</f>
        <v>E17</v>
      </c>
      <c r="H245" s="110" t="str">
        <f>IF(FN_MC!F250="","*",FN_MC!F250)</f>
        <v>CAMINHÃO DE SOLDA</v>
      </c>
      <c r="I245" s="110" t="str">
        <f>IF(FN_MC!H250="","*",FN_MC!H250)</f>
        <v>ZVT1</v>
      </c>
      <c r="J245" s="110" t="str">
        <f>IF(FN_MC!I250="","*",FN_MC!I250)</f>
        <v>ZVT1</v>
      </c>
      <c r="K245" s="110" t="str">
        <f>IF(FN_MC!M250="","*",FN_MC!M250)</f>
        <v>ZVT-ZDK</v>
      </c>
      <c r="L245" s="110" t="str">
        <f>IF(FN_MC!N250="","*",FN_MC!N250)</f>
        <v>ZVTZDK</v>
      </c>
      <c r="M245" s="111">
        <f>IF(FN_MC!J250="","*",FN_MC!J250)</f>
        <v>78</v>
      </c>
      <c r="N245" s="290">
        <f>IF(FN_MC!K250="","*",FN_MC!K250)</f>
        <v>244</v>
      </c>
      <c r="O245" s="290">
        <f>IF(FN_MC!L250="","*",FN_MC!L250)</f>
        <v>249</v>
      </c>
      <c r="P245" s="111"/>
      <c r="Q245" s="128">
        <f>IF(FN_MC!O250="","*",FN_MC!O250)</f>
        <v>0.375</v>
      </c>
      <c r="R245" s="128">
        <f>IF(FN_MC!P250="","*",FN_MC!P250)</f>
        <v>0.125</v>
      </c>
      <c r="S245" s="110" t="str">
        <f>IF(FN_MC!Q250="","*",CONCATENATE(FN_MC!Q250," ",FN_MC!R250))</f>
        <v>3 Nº DE SOLDA</v>
      </c>
      <c r="T245" s="110" t="str">
        <f>IF(FN_MC!V250="","*",FN_MC!V250)</f>
        <v>Higor</v>
      </c>
      <c r="U245" s="110" t="str">
        <f>IF(FN_MC!W250="","*",FN_MC!W250)</f>
        <v xml:space="preserve">Caminhão de solda 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1813</v>
      </c>
      <c r="D5" s="368"/>
      <c r="E5" s="368"/>
      <c r="F5" s="368"/>
      <c r="G5" s="368"/>
      <c r="H5" s="368"/>
      <c r="I5" s="368"/>
      <c r="J5" s="369"/>
      <c r="K5" s="370" t="s">
        <v>1814</v>
      </c>
      <c r="L5" s="371"/>
      <c r="M5" s="371"/>
      <c r="N5" s="371"/>
      <c r="O5" s="372" t="s">
        <v>1815</v>
      </c>
      <c r="P5" s="373"/>
      <c r="Q5" s="374"/>
    </row>
    <row r="6" spans="1:17" s="93" customFormat="1" ht="15.75" customHeight="1">
      <c r="A6" s="87" t="s">
        <v>1811</v>
      </c>
      <c r="B6" s="94" t="s">
        <v>1810</v>
      </c>
      <c r="C6" s="95" t="s">
        <v>1164</v>
      </c>
      <c r="D6" s="96" t="s">
        <v>1165</v>
      </c>
      <c r="E6" s="95" t="s">
        <v>1816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1817</v>
      </c>
      <c r="M6" s="139" t="s">
        <v>626</v>
      </c>
      <c r="N6" s="140" t="s">
        <v>1159</v>
      </c>
      <c r="O6" s="246" t="s">
        <v>1202</v>
      </c>
      <c r="P6" s="157"/>
      <c r="Q6" s="193" t="s">
        <v>1818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>
        <f>IF(FN_MC!B247="","*",FN_MC!B247)</f>
        <v>45980</v>
      </c>
      <c r="B244" s="98" t="str">
        <f>IF(FN_MC!X247="","*",FN_MC!X247)</f>
        <v>Oportunidade</v>
      </c>
      <c r="C244" s="99" t="str">
        <f>IF(FN_MC!S247="","*",FN_MC!S247)</f>
        <v>FERRONORTE</v>
      </c>
      <c r="D244" s="99" t="str">
        <f>IF(FN_MC!T247="","*",FN_MC!T247)</f>
        <v>TMI-TCS</v>
      </c>
      <c r="E244" s="99" t="str">
        <f>IF(FN_MC!D247="","*",FN_MC!D247)</f>
        <v>FRANCENILDO (TF-513)</v>
      </c>
      <c r="F244" s="99" t="str">
        <f>IF(FN_MC!H247="","*",FN_MC!H247)</f>
        <v>-</v>
      </c>
      <c r="G244" s="99" t="str">
        <f>IF(FN_MC!M247="","*",FN_MC!M247)</f>
        <v xml:space="preserve">TCE-S </v>
      </c>
      <c r="H244" s="154">
        <f>IF(FN_MC!K247="","*",FN_MC!K247)</f>
        <v>164.2</v>
      </c>
      <c r="I244" s="132">
        <f>IF(FN_MC!O247="","*",FN_MC!O247)</f>
        <v>0.375</v>
      </c>
      <c r="J244" s="132">
        <f>IF(FN_MC!P247="","*",FN_MC!P247)</f>
        <v>6.25E-2</v>
      </c>
      <c r="K244" s="141" t="str">
        <f>IF(FN_MC!AK247="","*",FN_MC!AK247)</f>
        <v>-</v>
      </c>
      <c r="L244" s="141" t="str">
        <f>IF(FN_MC!AM247="","*",FN_MC!AM247)</f>
        <v xml:space="preserve">TCE-S </v>
      </c>
      <c r="M244" s="141">
        <f>IF(FN_MC!AP247="","*",FN_MC!AP247)</f>
        <v>164.2</v>
      </c>
      <c r="N244" s="141" t="str">
        <f>IF(FN_MC!AM247="","*",FN_MC!AM247)</f>
        <v xml:space="preserve">TCE-S 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1819</v>
      </c>
      <c r="C2" s="95" t="s">
        <v>1149</v>
      </c>
      <c r="D2" s="95" t="s">
        <v>1151</v>
      </c>
      <c r="E2" s="95" t="s">
        <v>1820</v>
      </c>
      <c r="F2" s="95" t="s">
        <v>1821</v>
      </c>
      <c r="G2" s="95" t="s">
        <v>1822</v>
      </c>
      <c r="H2" s="95" t="s">
        <v>1823</v>
      </c>
      <c r="I2" s="95" t="s">
        <v>1824</v>
      </c>
      <c r="J2" s="95" t="s">
        <v>1825</v>
      </c>
      <c r="K2" s="131" t="s">
        <v>1826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>
        <f>IF(FN_MC!B247="","*",FN_MC!B247)</f>
        <v>45980</v>
      </c>
      <c r="D227" s="121" t="str">
        <f>IF(FN_MC!D247="","*",FN_MC!D247)</f>
        <v>FRANCENILDO (TF-513)</v>
      </c>
      <c r="E227" s="121" t="str">
        <f>IF(FN_MC!H247="","*",FN_MC!H247)</f>
        <v>-</v>
      </c>
      <c r="F227" s="137" t="str">
        <f>IF(FN_MC!M247="","*",FN_MC!M247)</f>
        <v xml:space="preserve">TCE-S </v>
      </c>
      <c r="G227" s="121" t="str">
        <f>IF(FN_MC!I247="","*",FN_MC!I247)</f>
        <v>-</v>
      </c>
      <c r="H227" s="121" t="str">
        <f>IF(FN_MC!AB247="","*",FN_MC!AB247)</f>
        <v>-</v>
      </c>
      <c r="I227" s="121" t="str">
        <f>IF(FN_MC!AC247="","*",FN_MC!AC247)</f>
        <v>-</v>
      </c>
      <c r="J227" s="122" t="str">
        <f>IF(FN_MC!AA247="","*",FN_MC!AA247)</f>
        <v>-</v>
      </c>
      <c r="K227" s="134" t="str">
        <f>IF(FN_MC!AD247="","*",FN_MC!AD247)</f>
        <v>-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