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706" documentId="8_{B6337239-1A00-434D-AAD0-422EA1FEB5AE}" xr6:coauthVersionLast="47" xr6:coauthVersionMax="47" xr10:uidLastSave="{A490A326-5690-40AC-B5DC-D658C54669EE}"/>
  <bookViews>
    <workbookView xWindow="-120" yWindow="-120" windowWidth="20730" windowHeight="11040" firstSheet="3" activeTab="6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7" i="1" l="1"/>
  <c r="C107" i="1"/>
  <c r="G107" i="1"/>
  <c r="M107" i="1" a="1"/>
  <c r="M107" i="1"/>
  <c r="N107" i="1" a="1"/>
  <c r="N107" i="1"/>
  <c r="R107" i="1"/>
  <c r="S107" i="1" a="1"/>
  <c r="S107" i="1"/>
  <c r="T107" i="1" a="1"/>
  <c r="T107" i="1"/>
  <c r="U107" i="1"/>
  <c r="AI107" i="1"/>
  <c r="AJ107" i="1"/>
  <c r="AK107" i="1"/>
  <c r="AL107" i="1"/>
  <c r="AM107" i="1"/>
  <c r="AN107" i="1"/>
  <c r="AO107" i="1"/>
  <c r="AP107" i="1"/>
  <c r="AQ107" i="1"/>
  <c r="AY107" i="1"/>
  <c r="BB107" i="1"/>
  <c r="BC107" i="1" a="1"/>
  <c r="BC107" i="1"/>
  <c r="BD107" i="1" a="1"/>
  <c r="BD107" i="1"/>
  <c r="BE107" i="1"/>
  <c r="BF107" i="1"/>
  <c r="BR107" i="1"/>
  <c r="BS107" i="1"/>
  <c r="H110" i="1" a="1"/>
  <c r="H110" i="1" s="1"/>
  <c r="H109" i="1" a="1"/>
  <c r="H109" i="1" s="1"/>
  <c r="H103" i="1" a="1"/>
  <c r="H103" i="1" s="1"/>
  <c r="H102" i="1" a="1"/>
  <c r="H102" i="1" s="1"/>
  <c r="M77" i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D78" i="16"/>
  <c r="E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8" i="16"/>
  <c r="L78" i="16"/>
  <c r="L79" i="16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K75" i="16"/>
  <c r="L75" i="16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6" i="16"/>
  <c r="L76" i="16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K77" i="16"/>
  <c r="L77" i="16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K79" i="16"/>
  <c r="R80" i="1"/>
  <c r="R79" i="16" s="1"/>
  <c r="S80" i="1" a="1"/>
  <c r="S80" i="1" s="1"/>
  <c r="D79" i="16" s="1"/>
  <c r="T80" i="1" a="1"/>
  <c r="T80" i="1" s="1"/>
  <c r="E79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80" i="16" s="1"/>
  <c r="N81" i="1" a="1"/>
  <c r="N81" i="1" s="1"/>
  <c r="L80" i="16" s="1"/>
  <c r="R81" i="1"/>
  <c r="R80" i="16" s="1"/>
  <c r="S81" i="1" a="1"/>
  <c r="S81" i="1" s="1"/>
  <c r="D80" i="16" s="1"/>
  <c r="T81" i="1" a="1"/>
  <c r="T81" i="1" s="1"/>
  <c r="E80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1" i="16" s="1"/>
  <c r="N82" i="1" a="1"/>
  <c r="N82" i="1" s="1"/>
  <c r="L81" i="16" s="1"/>
  <c r="R82" i="1"/>
  <c r="R81" i="16" s="1"/>
  <c r="S82" i="1" a="1"/>
  <c r="S82" i="1" s="1"/>
  <c r="D81" i="16" s="1"/>
  <c r="T82" i="1" a="1"/>
  <c r="T82" i="1" s="1"/>
  <c r="E81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2" i="16" s="1"/>
  <c r="N83" i="1" a="1"/>
  <c r="N83" i="1" s="1"/>
  <c r="L82" i="16" s="1"/>
  <c r="R83" i="1"/>
  <c r="R82" i="16" s="1"/>
  <c r="S83" i="1" a="1"/>
  <c r="S83" i="1" s="1"/>
  <c r="D82" i="16" s="1"/>
  <c r="T83" i="1" a="1"/>
  <c r="T83" i="1" s="1"/>
  <c r="E82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3" i="16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4" i="16" s="1"/>
  <c r="N85" i="1" a="1"/>
  <c r="N85" i="1" s="1"/>
  <c r="L84" i="16" s="1"/>
  <c r="R85" i="1"/>
  <c r="R84" i="16" s="1"/>
  <c r="S85" i="1" a="1"/>
  <c r="S85" i="1" s="1"/>
  <c r="D84" i="16" s="1"/>
  <c r="T85" i="1" a="1"/>
  <c r="T85" i="1" s="1"/>
  <c r="E84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5" i="16" s="1"/>
  <c r="N86" i="1" a="1"/>
  <c r="N86" i="1" s="1"/>
  <c r="L85" i="16" s="1"/>
  <c r="R86" i="1"/>
  <c r="S86" i="1" a="1"/>
  <c r="S86" i="1" s="1"/>
  <c r="D85" i="16" s="1"/>
  <c r="T86" i="1" a="1"/>
  <c r="T86" i="1" s="1"/>
  <c r="E85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6" i="16" s="1"/>
  <c r="L86" i="16"/>
  <c r="R87" i="1"/>
  <c r="R86" i="16" s="1"/>
  <c r="S87" i="1" a="1"/>
  <c r="S87" i="1" s="1"/>
  <c r="D86" i="16" s="1"/>
  <c r="T87" i="1" a="1"/>
  <c r="T87" i="1" s="1"/>
  <c r="E86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7" i="16" s="1"/>
  <c r="N88" i="1" a="1"/>
  <c r="N88" i="1" s="1"/>
  <c r="L87" i="16" s="1"/>
  <c r="R88" i="1"/>
  <c r="R87" i="16" s="1"/>
  <c r="S88" i="1" a="1"/>
  <c r="S88" i="1" s="1"/>
  <c r="D87" i="16" s="1"/>
  <c r="T88" i="1" a="1"/>
  <c r="T88" i="1" s="1"/>
  <c r="E87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8" i="16" s="1"/>
  <c r="N89" i="1" a="1"/>
  <c r="N89" i="1" s="1"/>
  <c r="L88" i="16" s="1"/>
  <c r="R89" i="1"/>
  <c r="S89" i="1" a="1"/>
  <c r="S89" i="1" s="1"/>
  <c r="D88" i="16" s="1"/>
  <c r="T89" i="1" a="1"/>
  <c r="T89" i="1" s="1"/>
  <c r="E88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9" i="16" s="1"/>
  <c r="N90" i="1" a="1"/>
  <c r="N90" i="1" s="1"/>
  <c r="L89" i="16" s="1"/>
  <c r="R90" i="1"/>
  <c r="S90" i="1" a="1"/>
  <c r="S90" i="1" s="1"/>
  <c r="D89" i="16" s="1"/>
  <c r="T90" i="1" a="1"/>
  <c r="T90" i="1" s="1"/>
  <c r="E89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90" i="16" s="1"/>
  <c r="N91" i="1" a="1"/>
  <c r="N91" i="1" s="1"/>
  <c r="L90" i="16" s="1"/>
  <c r="R91" i="1"/>
  <c r="S91" i="1" a="1"/>
  <c r="S91" i="1" s="1"/>
  <c r="D90" i="16" s="1"/>
  <c r="T91" i="1" a="1"/>
  <c r="T91" i="1" s="1"/>
  <c r="E90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1" i="16" s="1"/>
  <c r="N92" i="1" a="1"/>
  <c r="N92" i="1" s="1"/>
  <c r="L91" i="16" s="1"/>
  <c r="R92" i="1"/>
  <c r="R91" i="16" s="1"/>
  <c r="S92" i="1" a="1"/>
  <c r="S92" i="1" s="1"/>
  <c r="D91" i="16" s="1"/>
  <c r="T92" i="1" a="1"/>
  <c r="T92" i="1" s="1"/>
  <c r="E91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2" i="16" s="1"/>
  <c r="N93" i="1" a="1"/>
  <c r="N93" i="1" s="1"/>
  <c r="L92" i="16" s="1"/>
  <c r="R93" i="1"/>
  <c r="S93" i="1" a="1"/>
  <c r="S93" i="1" s="1"/>
  <c r="D92" i="16" s="1"/>
  <c r="T93" i="1" a="1"/>
  <c r="T93" i="1" s="1"/>
  <c r="E92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3" i="16" s="1"/>
  <c r="N94" i="1" a="1"/>
  <c r="N94" i="1" s="1"/>
  <c r="L93" i="16" s="1"/>
  <c r="R94" i="1"/>
  <c r="R93" i="16" s="1"/>
  <c r="S94" i="1" a="1"/>
  <c r="S94" i="1" s="1"/>
  <c r="D93" i="16" s="1"/>
  <c r="T94" i="1" a="1"/>
  <c r="T94" i="1" s="1"/>
  <c r="E93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4" i="16" s="1"/>
  <c r="N95" i="1" a="1"/>
  <c r="N95" i="1" s="1"/>
  <c r="L94" i="16" s="1"/>
  <c r="R95" i="1"/>
  <c r="S95" i="1" a="1"/>
  <c r="S95" i="1" s="1"/>
  <c r="D94" i="16" s="1"/>
  <c r="T95" i="1" a="1"/>
  <c r="T95" i="1" s="1"/>
  <c r="E94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5" i="16" s="1"/>
  <c r="N96" i="1" a="1"/>
  <c r="N96" i="1" s="1"/>
  <c r="L95" i="16" s="1"/>
  <c r="R96" i="1"/>
  <c r="R95" i="16" s="1"/>
  <c r="S96" i="1" a="1"/>
  <c r="S96" i="1" s="1"/>
  <c r="D95" i="16" s="1"/>
  <c r="T96" i="1" a="1"/>
  <c r="T96" i="1" s="1"/>
  <c r="E95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6" i="16" s="1"/>
  <c r="N97" i="1" a="1"/>
  <c r="N97" i="1" s="1"/>
  <c r="L96" i="16" s="1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7" i="16" s="1"/>
  <c r="N98" i="1" a="1"/>
  <c r="N98" i="1" s="1"/>
  <c r="L97" i="16" s="1"/>
  <c r="R98" i="1"/>
  <c r="R97" i="16" s="1"/>
  <c r="S98" i="1" a="1"/>
  <c r="S98" i="1" s="1"/>
  <c r="D97" i="16" s="1"/>
  <c r="T98" i="1" a="1"/>
  <c r="T98" i="1" s="1"/>
  <c r="E97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8" i="16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9" i="16" s="1"/>
  <c r="N100" i="1" a="1"/>
  <c r="N100" i="1" s="1"/>
  <c r="L99" i="16" s="1"/>
  <c r="R100" i="1"/>
  <c r="R99" i="16" s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0" i="16" s="1"/>
  <c r="N101" i="1" a="1"/>
  <c r="N101" i="1" s="1"/>
  <c r="L100" i="16" s="1"/>
  <c r="R101" i="1"/>
  <c r="R100" i="16" s="1"/>
  <c r="S101" i="1" a="1"/>
  <c r="S101" i="1" s="1"/>
  <c r="D100" i="16" s="1"/>
  <c r="T101" i="1" a="1"/>
  <c r="T101" i="1" s="1"/>
  <c r="E100" i="16" s="1"/>
  <c r="AI101" i="1"/>
  <c r="BB101" i="1" s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1" i="16" s="1"/>
  <c r="N102" i="1" a="1"/>
  <c r="N102" i="1" s="1"/>
  <c r="L101" i="16" s="1"/>
  <c r="R102" i="1"/>
  <c r="R101" i="16" s="1"/>
  <c r="S102" i="1" a="1"/>
  <c r="S102" i="1" s="1"/>
  <c r="D101" i="16" s="1"/>
  <c r="T102" i="1" a="1"/>
  <c r="T102" i="1" s="1"/>
  <c r="E101" i="16" s="1"/>
  <c r="AI102" i="1"/>
  <c r="BB102" i="1" s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2" i="16" s="1"/>
  <c r="L102" i="16"/>
  <c r="R103" i="1"/>
  <c r="R102" i="16" s="1"/>
  <c r="S103" i="1" a="1"/>
  <c r="S103" i="1" s="1"/>
  <c r="D102" i="16" s="1"/>
  <c r="T103" i="1" a="1"/>
  <c r="T103" i="1" s="1"/>
  <c r="E102" i="16" s="1"/>
  <c r="AI103" i="1"/>
  <c r="BB103" i="1" s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K103" i="16"/>
  <c r="L103" i="16"/>
  <c r="R104" i="1"/>
  <c r="R103" i="16" s="1"/>
  <c r="S104" i="1" a="1"/>
  <c r="S104" i="1" s="1"/>
  <c r="D103" i="16" s="1"/>
  <c r="T104" i="1" a="1"/>
  <c r="T104" i="1" s="1"/>
  <c r="E103" i="16" s="1"/>
  <c r="AI104" i="1"/>
  <c r="BB104" i="1" s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4" i="16" s="1"/>
  <c r="N105" i="1" a="1"/>
  <c r="N105" i="1" s="1"/>
  <c r="L104" i="16" s="1"/>
  <c r="R105" i="1"/>
  <c r="R104" i="16" s="1"/>
  <c r="S105" i="1" a="1"/>
  <c r="S105" i="1" s="1"/>
  <c r="D104" i="16" s="1"/>
  <c r="T105" i="1" a="1"/>
  <c r="T105" i="1" s="1"/>
  <c r="E104" i="16" s="1"/>
  <c r="AI105" i="1"/>
  <c r="BB105" i="1" s="1"/>
  <c r="AK105" i="1"/>
  <c r="K129" i="11" s="1"/>
  <c r="AL105" i="1"/>
  <c r="AO105" i="1"/>
  <c r="BE105" i="1" s="1"/>
  <c r="AP105" i="1"/>
  <c r="M129" i="11" s="1"/>
  <c r="BC105" i="1" a="1"/>
  <c r="BC105" i="1" s="1"/>
  <c r="BF105" i="1"/>
  <c r="BR105" i="1"/>
  <c r="BS105" i="1"/>
  <c r="BT105" i="1"/>
  <c r="A106" i="1"/>
  <c r="C106" i="1"/>
  <c r="G106" i="1"/>
  <c r="K105" i="16"/>
  <c r="L105" i="16"/>
  <c r="R106" i="1"/>
  <c r="R105" i="16" s="1"/>
  <c r="S106" i="1" a="1"/>
  <c r="S106" i="1" s="1"/>
  <c r="D105" i="16" s="1"/>
  <c r="T106" i="1" a="1"/>
  <c r="T106" i="1" s="1"/>
  <c r="E105" i="16" s="1"/>
  <c r="AI106" i="1"/>
  <c r="BB106" i="1" s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8" i="1"/>
  <c r="C108" i="1"/>
  <c r="G108" i="1"/>
  <c r="M108" i="1" a="1"/>
  <c r="M108" i="1" s="1"/>
  <c r="K106" i="16" s="1"/>
  <c r="N108" i="1" a="1"/>
  <c r="N108" i="1" s="1"/>
  <c r="L106" i="16" s="1"/>
  <c r="R108" i="1"/>
  <c r="R106" i="16" s="1"/>
  <c r="S108" i="1" a="1"/>
  <c r="S108" i="1" s="1"/>
  <c r="D106" i="16" s="1"/>
  <c r="T108" i="1" a="1"/>
  <c r="T108" i="1" s="1"/>
  <c r="E106" i="16" s="1"/>
  <c r="AI108" i="1"/>
  <c r="BB108" i="1" s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K119" i="16"/>
  <c r="L119" i="16"/>
  <c r="D119" i="16"/>
  <c r="E119" i="16"/>
  <c r="AI121" i="1"/>
  <c r="BB121" i="1" s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6" i="16" s="1"/>
  <c r="N778" i="1" a="1"/>
  <c r="N778" i="1" s="1"/>
  <c r="L776" i="16" s="1"/>
  <c r="R778" i="1"/>
  <c r="S778" i="1" a="1"/>
  <c r="S778" i="1" s="1"/>
  <c r="D776" i="16" s="1"/>
  <c r="T778" i="1" a="1"/>
  <c r="T778" i="1" s="1"/>
  <c r="E776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29" i="1" l="1"/>
  <c r="AJ121" i="1"/>
  <c r="AJ87" i="1"/>
  <c r="AJ114" i="1"/>
  <c r="AJ111" i="1"/>
  <c r="AJ115" i="1"/>
  <c r="AJ123" i="1"/>
  <c r="AJ125" i="1"/>
  <c r="AJ119" i="1"/>
  <c r="AJ117" i="1"/>
  <c r="AJ127" i="1"/>
  <c r="BQ107" i="1"/>
  <c r="L74" i="16"/>
  <c r="AN76" i="1"/>
  <c r="L72" i="16"/>
  <c r="AN74" i="1"/>
  <c r="L64" i="16"/>
  <c r="AN66" i="1"/>
  <c r="L63" i="16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K66" i="16"/>
  <c r="AM68" i="1"/>
  <c r="K64" i="16"/>
  <c r="AM66" i="1"/>
  <c r="L71" i="16"/>
  <c r="AN73" i="1"/>
  <c r="K63" i="16"/>
  <c r="AM65" i="1"/>
  <c r="L62" i="16"/>
  <c r="AN64" i="1"/>
  <c r="L68" i="16"/>
  <c r="AN70" i="1"/>
  <c r="AM67" i="1"/>
  <c r="BB79" i="1"/>
  <c r="BD75" i="1" a="1"/>
  <c r="BD75" i="1" s="1"/>
  <c r="BD74" i="1" a="1"/>
  <c r="BD74" i="1" s="1"/>
  <c r="BB73" i="1"/>
  <c r="AJ105" i="1"/>
  <c r="AJ103" i="1"/>
  <c r="AJ101" i="1"/>
  <c r="BD73" i="1" a="1"/>
  <c r="BD73" i="1" s="1"/>
  <c r="BD70" i="1" a="1"/>
  <c r="BD70" i="1" s="1"/>
  <c r="BD61" i="1" a="1"/>
  <c r="BD61" i="1" s="1"/>
  <c r="AJ108" i="1"/>
  <c r="BQ200" i="1"/>
  <c r="BQ197" i="1"/>
  <c r="BQ194" i="1"/>
  <c r="BQ191" i="1"/>
  <c r="BQ188" i="1"/>
  <c r="AJ109" i="1"/>
  <c r="AJ98" i="1"/>
  <c r="AJ110" i="1"/>
  <c r="AJ106" i="1"/>
  <c r="AJ94" i="1"/>
  <c r="AJ102" i="1"/>
  <c r="AJ99" i="1"/>
  <c r="AJ104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4" i="1"/>
  <c r="BD91" i="1" a="1"/>
  <c r="BD91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2" i="16"/>
  <c r="U42" i="16"/>
  <c r="U39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3" i="1" a="1"/>
  <c r="BD103" i="1" s="1"/>
  <c r="BD127" i="1" a="1"/>
  <c r="BD127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3" i="1" a="1"/>
  <c r="BD583" i="1" s="1"/>
  <c r="BD117" i="1" a="1"/>
  <c r="BD117" i="1" s="1"/>
  <c r="AN97" i="1"/>
  <c r="AN94" i="1"/>
  <c r="BD105" i="1" a="1"/>
  <c r="BD105" i="1" s="1"/>
  <c r="BD96" i="1" a="1"/>
  <c r="BD96" i="1" s="1"/>
  <c r="AN96" i="1"/>
  <c r="AN98" i="1"/>
  <c r="AN100" i="1"/>
  <c r="AN99" i="1"/>
  <c r="BD108" i="1" a="1"/>
  <c r="BD108" i="1" s="1"/>
  <c r="BD121" i="1" a="1"/>
  <c r="BD121" i="1" s="1"/>
  <c r="BD111" i="1" a="1"/>
  <c r="BD111" i="1" s="1"/>
  <c r="AN102" i="1"/>
  <c r="AN105" i="1"/>
  <c r="BD104" i="1" a="1"/>
  <c r="BD104" i="1" s="1"/>
  <c r="AN103" i="1"/>
  <c r="BD101" i="1" a="1"/>
  <c r="BD101" i="1" s="1"/>
  <c r="BD109" i="1" a="1"/>
  <c r="BD109" i="1" s="1"/>
  <c r="AN104" i="1"/>
  <c r="AN101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6" i="1" a="1"/>
  <c r="BD106" i="1" s="1"/>
  <c r="BD135" i="1" a="1"/>
  <c r="BD135" i="1" s="1"/>
  <c r="BD132" i="1" a="1"/>
  <c r="BD132" i="1" s="1"/>
  <c r="BD129" i="1" a="1"/>
  <c r="BD129" i="1" s="1"/>
  <c r="AN116" i="1"/>
  <c r="AN113" i="1"/>
  <c r="AN110" i="1"/>
  <c r="AN106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<sst xmlns="http://schemas.openxmlformats.org/spreadsheetml/2006/main" count="5526" uniqueCount="1552">
  <si>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</si>
  <si>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</si>
  <si>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</si>
  <si>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</si>
  <si>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</si>
  <si>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</si>
  <si>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</si>
  <si>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</si>
  <si>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</si>
  <si>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</si>
  <si>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</si>
  <si>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</si>
  <si>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</si>
  <si>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</si>
  <si>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</si>
  <si>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</si>
  <si>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</si>
  <si>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</si>
  <si>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</si>
  <si>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</si>
  <si>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</si>
  <si>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</si>
  <si>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</si>
  <si>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</si>
  <si>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</si>
  <si>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</si>
  <si>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</si>
  <si>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</si>
  <si>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</si>
  <si>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</si>
  <si>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</si>
  <si>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</si>
  <si>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</si>
  <si>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</si>
  <si>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</si>
  <si>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</si>
  <si>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</si>
  <si>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</si>
  <si>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</si>
  <si>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</si>
  <si>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</si>
  <si>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</si>
  <si>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</si>
  <si>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</si>
  <si>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</si>
  <si>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</si>
  <si>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</si>
  <si>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</si>
  <si>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</si>
  <si>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</si>
  <si>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</si>
  <si>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</si>
  <si>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</si>
  <si>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</si>
  <si>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</si>
  <si>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</si>
  <si>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</si>
  <si>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</si>
  <si>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</si>
  <si>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</si>
  <si>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</si>
  <si>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</si>
  <si>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</si>
  <si>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</si>
  <si>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</si>
  <si>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</si>
  <si>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</si>
  <si>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</si>
  <si>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</si>
  <si>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</si>
  <si>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</si>
  <si>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</si>
  <si>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</si>
  <si>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</si>
  <si>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</si>
  <si>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</si>
  <si>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</si>
  <si>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</si>
  <si>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</si>
  <si>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</si>
  <si>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</si>
  <si>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</si>
  <si>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</si>
  <si>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</si>
  <si>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</si>
  <si>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</si>
  <si>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</si>
  <si>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</si>
  <si>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</si>
  <si>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</si>
  <si>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</si>
  <si>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</si>
  <si>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</si>
  <si>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</si>
  <si>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</si>
  <si>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</si>
  <si>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</si>
  <si>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</si>
  <si>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</si>
  <si>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</si>
  <si>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</si>
  <si>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</si>
  <si>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</si>
  <si>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</si>
  <si>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</si>
  <si>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</si>
  <si>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</si>
  <si>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</si>
  <si>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</si>
  <si>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</si>
  <si>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</si>
  <si>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</si>
  <si>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</si>
  <si>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</si>
  <si>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</si>
  <si>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</si>
  <si>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</si>
  <si>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</si>
  <si>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</si>
  <si>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</si>
  <si>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</si>
  <si>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</si>
  <si>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</si>
  <si>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</si>
  <si>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</si>
  <si>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</si>
  <si>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</si>
  <si>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</si>
  <si>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</si>
  <si>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</si>
  <si>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</si>
  <si>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</si>
  <si>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</si>
  <si>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</si>
  <si>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</si>
  <si>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</si>
  <si>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</si>
  <si>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</si>
  <si>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</si>
  <si>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</si>
  <si>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</si>
  <si>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</si>
  <si>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</si>
  <si>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</si>
  <si>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</si>
  <si>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</si>
  <si>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</si>
  <si>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</si>
  <si>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</si>
  <si>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</si>
  <si>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</si>
  <si>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</si>
  <si>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</si>
  <si>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</si>
  <si>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</si>
  <si>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</si>
  <si>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</si>
  <si>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</si>
  <si>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</si>
  <si>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</si>
  <si>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</si>
  <si>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</si>
  <si>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</si>
  <si>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</si>
  <si>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</si>
  <si>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</si>
  <si>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</si>
  <si>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</si>
  <si>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</si>
  <si>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</si>
  <si>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</si>
  <si>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</si>
  <si>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</si>
  <si>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</si>
  <si>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</si>
  <si>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</si>
  <si>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</si>
  <si>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</si>
  <si>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</si>
  <si>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</si>
  <si>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</si>
  <si>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</si>
  <si>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</si>
  <si>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</si>
  <si>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</si>
  <si>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</si>
  <si>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</si>
  <si>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</si>
  <si>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</si>
  <si>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</si>
  <si>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</si>
  <si>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</si>
  <si>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</si>
  <si>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</si>
  <si>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</si>
  <si>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</si>
  <si>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</si>
  <si>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</si>
  <si>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</si>
  <si>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</si>
  <si>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</si>
  <si>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</si>
  <si>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</si>
  <si>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</si>
  <si>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</si>
  <si>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</si>
  <si>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</si>
  <si>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</si>
  <si>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</si>
  <si>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</si>
  <si>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</si>
  <si>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</si>
  <si>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</si>
  <si>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</si>
  <si>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</si>
  <si>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</si>
  <si>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</si>
  <si>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</si>
  <si>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</si>
  <si>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</si>
  <si>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</si>
  <si>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</si>
  <si>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</si>
  <si>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</si>
  <si>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</si>
  <si>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</si>
  <si>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</si>
  <si>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</si>
  <si>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</si>
  <si>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</si>
  <si>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</si>
  <si>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</si>
  <si>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</si>
  <si>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</si>
  <si>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</si>
  <si>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</si>
  <si>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</si>
  <si>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</si>
  <si>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</si>
  <si>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</si>
  <si>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</si>
  <si>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</si>
  <si>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</si>
  <si>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</si>
  <si>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</si>
  <si>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</si>
  <si>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</si>
  <si>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</si>
  <si>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</si>
  <si>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</si>
  <si>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</si>
  <si>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</si>
  <si>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</si>
  <si>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</si>
  <si>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</si>
  <si>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</si>
  <si>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</si>
  <si>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</si>
  <si>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</si>
  <si>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</si>
  <si>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</si>
  <si>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</si>
  <si>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</si>
  <si>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</si>
  <si>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</si>
  <si>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</si>
  <si>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</si>
  <si>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</si>
  <si>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</si>
  <si>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</si>
  <si>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</si>
  <si>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</si>
  <si>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</si>
  <si>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</si>
  <si>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</si>
  <si>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</si>
  <si>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</si>
  <si>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</si>
  <si>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</si>
  <si>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</si>
  <si>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</si>
  <si>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</si>
  <si>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</si>
  <si>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</si>
  <si>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</si>
  <si>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</si>
  <si>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</si>
  <si>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</si>
  <si>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</si>
  <si>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</si>
  <si>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</si>
  <si>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</si>
  <si>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</si>
  <si>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</si>
  <si>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</si>
  <si>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</si>
  <si>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</si>
  <si>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</si>
  <si>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</si>
  <si>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</si>
  <si>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</si>
  <si>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</si>
  <si>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</si>
  <si>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</si>
  <si>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</si>
  <si>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</si>
  <si>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</si>
  <si>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</si>
  <si>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</si>
  <si>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</si>
  <si>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</si>
  <si>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</si>
  <si>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</si>
  <si>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</si>
  <si>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</si>
  <si>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</si>
  <si>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</si>
  <si>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</si>
  <si>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</si>
  <si>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</si>
  <si>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</si>
  <si>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</si>
  <si>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</si>
  <si>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</si>
  <si>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</si>
  <si>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</si>
  <si>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</si>
  <si>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</si>
  <si>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</si>
  <si>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</si>
  <si>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</si>
  <si>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</si>
  <si>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</si>
  <si>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</si>
  <si>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</si>
  <si>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</si>
  <si>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</si>
  <si>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</si>
  <si>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</si>
  <si>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</si>
  <si>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</si>
  <si>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</si>
  <si>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</si>
  <si>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</si>
  <si>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</si>
  <si>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</si>
  <si>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</si>
  <si>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</si>
  <si>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</si>
  <si>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</si>
  <si>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</si>
  <si>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</si>
  <si>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</si>
  <si>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</si>
  <si>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</si>
  <si>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</si>
  <si>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</si>
  <si>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</si>
  <si>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</si>
  <si>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</si>
  <si>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</si>
  <si>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</si>
  <si>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</si>
  <si>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</si>
  <si>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</si>
  <si>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</si>
  <si>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</si>
  <si>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</si>
  <si>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</si>
  <si>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</si>
  <si>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</si>
  <si>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</si>
  <si>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</si>
  <si>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</si>
  <si>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</si>
  <si>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</si>
  <si>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</si>
  <si>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</si>
  <si>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</si>
  <si>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</si>
  <si>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</si>
  <si>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</si>
  <si>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</si>
  <si>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</si>
  <si>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</si>
  <si>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</si>
  <si>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</si>
  <si>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</si>
  <si>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</si>
  <si>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</si>
  <si>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</si>
  <si>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</si>
  <si>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</si>
  <si>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</si>
  <si>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</si>
  <si>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</si>
  <si>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</si>
  <si>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</si>
  <si>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</si>
  <si>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</si>
  <si>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</si>
  <si>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</si>
  <si>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</si>
  <si>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</si>
  <si>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</si>
  <si>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</si>
  <si>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</si>
  <si>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</si>
  <si>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</si>
  <si>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</si>
  <si>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</si>
  <si>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</si>
  <si>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</si>
  <si>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</si>
  <si>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</si>
  <si>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</si>
  <si>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</si>
  <si>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</si>
  <si>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</si>
  <si>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</si>
  <si>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</si>
  <si>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</si>
  <si>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</si>
  <si>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</si>
  <si>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</si>
  <si>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</si>
  <si>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</si>
  <si>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</si>
  <si>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</si>
  <si>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</si>
  <si>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</si>
  <si>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</si>
  <si>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</si>
  <si>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</si>
  <si>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</si>
  <si>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</si>
  <si>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</si>
  <si>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</si>
  <si>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</si>
  <si>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</si>
  <si>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</si>
  <si>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</si>
  <si>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</si>
  <si>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</si>
  <si>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</si>
  <si>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</si>
  <si>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</si>
  <si>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</si>
  <si>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</si>
  <si>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</si>
  <si>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</si>
  <si>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</si>
  <si>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</si>
  <si>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</si>
  <si>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</si>
  <si>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</si>
  <si>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</si>
  <si>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</si>
  <si>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</si>
  <si>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</si>
  <si>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</si>
  <si>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</si>
  <si>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</si>
  <si>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</si>
  <si>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</si>
  <si>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</si>
  <si>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</si>
  <si>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</si>
  <si>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</si>
  <si>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</si>
  <si>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</si>
  <si>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</si>
  <si>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</si>
  <si>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</si>
  <si>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</si>
  <si>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</si>
  <si>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</si>
  <si>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</si>
  <si>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</si>
  <si>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</si>
  <si>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</si>
  <si>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</si>
  <si>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</si>
  <si>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</si>
  <si>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</si>
  <si>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</si>
  <si>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</si>
  <si>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</si>
  <si>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</si>
  <si>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</si>
  <si>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</si>
  <si>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</si>
  <si>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</si>
  <si>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</si>
  <si>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</si>
  <si>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</si>
  <si>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</si>
  <si>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</si>
  <si>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</si>
  <si>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</si>
  <si>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</si>
  <si>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</si>
  <si>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</si>
  <si>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</si>
  <si>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</si>
  <si>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</si>
  <si>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</si>
  <si>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</si>
  <si>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</si>
  <si>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</si>
  <si>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</si>
  <si>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</si>
  <si>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</si>
  <si>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</si>
  <si>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</si>
  <si>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</si>
  <si>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</si>
  <si>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</si>
  <si>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</si>
  <si>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</si>
  <si>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</si>
  <si>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</si>
  <si>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</si>
  <si>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</si>
  <si>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</si>
  <si>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</si>
  <si>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</si>
  <si>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</si>
  <si>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</si>
  <si>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</si>
  <si>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</si>
  <si>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</si>
  <si>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</si>
  <si>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</si>
  <si>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</si>
  <si>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</si>
  <si>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</si>
  <si>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</si>
  <si>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</si>
  <si>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</si>
  <si>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</si>
  <si>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</si>
  <si>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</si>
  <si>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</si>
  <si>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</si>
  <si>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</si>
  <si>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</si>
  <si>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</si>
  <si>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</si>
  <si>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</si>
  <si>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</si>
  <si>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</si>
  <si>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</si>
  <si>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</si>
  <si>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</si>
  <si>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</si>
  <si>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</si>
  <si>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</si>
  <si>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</si>
  <si>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</si>
  <si>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</si>
  <si>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</si>
  <si>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</si>
  <si>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</si>
  <si>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</si>
  <si>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</si>
  <si>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</si>
  <si>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</si>
  <si>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</si>
  <si>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</si>
  <si>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</si>
  <si>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</si>
  <si>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</si>
  <si>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</si>
  <si>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</si>
  <si>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</si>
  <si>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</si>
  <si>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</si>
  <si>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</si>
  <si>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</si>
  <si>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</si>
  <si>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</si>
  <si>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</si>
  <si>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</si>
  <si>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</si>
  <si>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</si>
  <si>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</si>
  <si>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</si>
  <si>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</si>
  <si>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</si>
  <si>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</si>
  <si>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</si>
  <si>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</si>
  <si>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</si>
  <si>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</si>
  <si>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</si>
  <si>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</si>
  <si>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</si>
  <si>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</si>
  <si>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</si>
  <si>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</si>
  <si>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</si>
  <si>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</si>
  <si>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</si>
  <si>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</si>
  <si>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</si>
  <si>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</si>
  <si>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</si>
  <si>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</si>
  <si>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</si>
  <si>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</si>
  <si>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</si>
  <si>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</si>
  <si>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</si>
  <si>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</si>
  <si>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</si>
  <si>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</si>
  <si>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</si>
  <si>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</si>
  <si>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</si>
  <si>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</si>
  <si>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</si>
  <si>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</si>
  <si>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</si>
  <si>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</si>
  <si>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</si>
  <si>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</si>
  <si>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</si>
  <si>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</si>
  <si>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</si>
  <si>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</si>
  <si>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</si>
  <si>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</si>
  <si>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</si>
  <si>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</si>
  <si>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</si>
  <si>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</si>
  <si>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</si>
  <si>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</si>
  <si>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</si>
  <si>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</si>
  <si>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</si>
  <si>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</si>
  <si>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</si>
  <si>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</si>
  <si>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</si>
  <si>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</si>
  <si>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</si>
  <si>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</si>
  <si>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</si>
  <si>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</si>
  <si>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</si>
  <si>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</si>
  <si>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</si>
  <si>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</si>
  <si>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</si>
  <si>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</si>
  <si>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</si>
  <si>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</si>
  <si>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</si>
  <si>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</si>
  <si>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</si>
  <si>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</si>
  <si>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</si>
  <si>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</si>
  <si>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</si>
  <si>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</si>
  <si>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</si>
  <si>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</si>
  <si>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</si>
  <si>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</si>
  <si>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</si>
  <si>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</si>
  <si>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</si>
  <si>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</si>
  <si>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</si>
  <si>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</si>
  <si>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</si>
  <si>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</si>
  <si>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</si>
  <si>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</si>
  <si>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</si>
  <si>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</si>
  <si>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</si>
  <si>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</si>
  <si>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</si>
  <si>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</si>
  <si>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</si>
  <si>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</si>
  <si>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</si>
  <si>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</si>
  <si>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</si>
  <si>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</si>
  <si>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</si>
  <si>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</si>
  <si>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</si>
  <si>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</si>
  <si>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</si>
  <si>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</si>
  <si>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</si>
  <si>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</si>
  <si>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</si>
  <si>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</si>
  <si>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</si>
  <si>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</si>
  <si>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</si>
  <si>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</si>
  <si>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</si>
  <si>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</si>
  <si>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</si>
  <si>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</si>
  <si>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</si>
  <si>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</si>
  <si>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</si>
  <si>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</si>
  <si>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</si>
  <si>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</si>
  <si>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</si>
  <si>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</si>
  <si>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</si>
  <si>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</si>
  <si>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</si>
  <si>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</si>
  <si>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</si>
  <si>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</si>
  <si>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</si>
  <si>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</si>
  <si>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</si>
  <si>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</si>
  <si>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</si>
  <si>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</si>
  <si>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</si>
  <si>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</si>
  <si>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</si>
  <si>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</si>
  <si>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</si>
  <si>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</si>
  <si>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</si>
  <si>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</si>
  <si>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</si>
  <si>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</si>
  <si>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</si>
  <si>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</si>
  <si>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</si>
  <si>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</si>
  <si>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</si>
  <si>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</si>
  <si>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</si>
  <si>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</si>
  <si>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</si>
  <si>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</si>
  <si>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</si>
  <si>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</si>
  <si>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</si>
  <si>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</si>
  <si>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</si>
  <si>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</si>
  <si>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</si>
  <si>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</si>
  <si>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</si>
  <si>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</si>
  <si>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</si>
  <si>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</si>
  <si>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</si>
  <si>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</si>
  <si>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</si>
  <si>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</si>
  <si>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</si>
  <si>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</si>
  <si>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</si>
  <si>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</si>
  <si>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</si>
  <si>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</si>
  <si>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</si>
  <si>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</si>
  <si>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</si>
  <si>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</si>
  <si>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</si>
  <si>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</si>
  <si>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</si>
  <si>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</si>
  <si>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</si>
  <si>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</si>
  <si>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</si>
  <si>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</si>
  <si>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</si>
  <si>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</si>
  <si>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</si>
  <si>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</si>
  <si>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</si>
  <si>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</si>
  <si>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</si>
  <si>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</si>
  <si>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</si>
  <si>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</si>
  <si>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</si>
  <si>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</si>
  <si>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</si>
  <si>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</si>
  <si>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</si>
  <si>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</si>
  <si>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</si>
  <si>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</si>
  <si>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</si>
  <si>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</si>
  <si>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</si>
  <si>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</si>
  <si>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</si>
  <si>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</si>
  <si>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</si>
  <si>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</si>
  <si>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</si>
  <si>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</si>
  <si>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</si>
  <si>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</si>
  <si>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</si>
  <si>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</si>
  <si>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</si>
  <si>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</si>
  <si>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</si>
  <si>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</si>
  <si>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</si>
  <si>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</si>
  <si>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</si>
  <si>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</si>
  <si>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</si>
  <si>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</si>
  <si>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</si>
  <si>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</si>
  <si>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</si>
  <si>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</si>
  <si>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</si>
  <si>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</si>
  <si>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</si>
  <si>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</si>
  <si>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</si>
  <si>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</si>
  <si>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</si>
  <si>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</si>
  <si>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</si>
  <si>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</si>
  <si>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</si>
  <si>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</si>
  <si>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</si>
  <si>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</si>
  <si>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</si>
  <si>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</si>
  <si>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</si>
  <si>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</si>
  <si>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</si>
  <si>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</si>
  <si>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</si>
  <si>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</si>
  <si>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</si>
  <si>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</si>
  <si>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</si>
  <si>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</si>
  <si>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</si>
  <si>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</si>
  <si>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</si>
  <si>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</si>
  <si>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</si>
  <si>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</si>
  <si>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</si>
  <si>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</si>
  <si>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</si>
  <si>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</si>
  <si>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</si>
  <si>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</si>
  <si>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</si>
  <si>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</si>
  <si>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</si>
  <si>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</si>
  <si>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</si>
  <si>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</si>
  <si>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</si>
  <si>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</si>
  <si>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</si>
  <si>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</si>
  <si>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</si>
  <si>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</si>
  <si>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</si>
  <si>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</si>
  <si>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</si>
  <si>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</si>
  <si>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</si>
  <si>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</si>
  <si>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</si>
  <si>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</si>
  <si>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</si>
  <si>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</si>
  <si>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</si>
  <si>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</si>
  <si>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</si>
  <si>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</si>
  <si>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</si>
  <si>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</si>
  <si>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</si>
  <si>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</si>
  <si>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</si>
  <si>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</si>
  <si>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</si>
  <si>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</si>
  <si>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</si>
  <si>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</si>
  <si>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</si>
  <si>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</si>
  <si>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</si>
  <si>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</si>
  <si>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</si>
  <si>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</si>
  <si>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</si>
  <si>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</si>
  <si>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</si>
  <si>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</si>
  <si>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</si>
  <si>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</si>
  <si>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</si>
  <si>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</si>
  <si>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</si>
  <si>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</si>
  <si>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</si>
  <si>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</si>
  <si>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</si>
  <si>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</si>
  <si>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</si>
  <si>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</si>
  <si>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</si>
  <si>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</si>
  <si>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</si>
  <si>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</si>
  <si>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</si>
  <si>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</si>
  <si>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</si>
  <si>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</si>
  <si>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</si>
  <si>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</si>
  <si>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</si>
  <si>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</si>
  <si>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</si>
  <si>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</si>
  <si>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</si>
  <si>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</si>
  <si>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</si>
  <si>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</si>
  <si>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</si>
  <si>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</si>
  <si>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</si>
  <si>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</si>
  <si>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</si>
  <si>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</si>
  <si>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</si>
  <si>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</si>
  <si>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</si>
  <si>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</si>
  <si>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</si>
  <si>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</si>
  <si>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</si>
  <si>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</si>
  <si>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</si>
  <si>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</si>
  <si>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</si>
  <si>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</si>
  <si>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</si>
  <si>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</si>
  <si>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</si>
  <si>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</si>
  <si>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</si>
  <si>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</si>
  <si>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</si>
  <si>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</si>
  <si>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</si>
  <si>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</si>
  <si>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</si>
  <si>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</si>
  <si>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</si>
  <si>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</si>
  <si>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</si>
  <si>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</si>
  <si>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</si>
  <si>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</si>
  <si>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</si>
  <si>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</si>
  <si>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</si>
  <si>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</si>
  <si>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</si>
  <si>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</si>
  <si>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</si>
  <si>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</si>
  <si>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</si>
  <si>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</si>
  <si>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</si>
  <si>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</si>
  <si>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</si>
  <si>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</si>
  <si>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</si>
  <si>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</si>
  <si>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</si>
  <si>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</si>
  <si>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</si>
  <si>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</si>
  <si>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</si>
  <si>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</si>
  <si>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</si>
  <si>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</si>
  <si>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</si>
  <si>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</si>
  <si>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</si>
  <si>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</si>
  <si>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</si>
  <si>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</si>
  <si>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</si>
  <si>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</si>
  <si>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</si>
  <si>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</si>
  <si>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</si>
  <si>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</si>
  <si>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</si>
  <si>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</si>
  <si>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</si>
  <si>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</si>
  <si>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</si>
  <si>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</si>
  <si>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</si>
  <si>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</si>
  <si>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</si>
  <si>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</si>
  <si>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</si>
  <si>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</si>
  <si>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</si>
  <si>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</si>
  <si>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</si>
  <si>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</si>
  <si>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</si>
  <si>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</si>
  <si>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</si>
  <si>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</si>
  <si>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</si>
  <si>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</si>
  <si>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</si>
  <si>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</si>
  <si>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</si>
  <si>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</si>
  <si>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</si>
  <si>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</si>
  <si>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</si>
  <si>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</si>
  <si>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</si>
  <si>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</si>
  <si>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</si>
  <si>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</si>
  <si>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</si>
  <si>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</si>
  <si>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</si>
  <si>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</si>
  <si>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</si>
  <si>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</si>
  <si>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</si>
  <si>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</si>
  <si>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</si>
  <si>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</si>
  <si>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</si>
  <si>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</si>
  <si>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</si>
  <si>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</si>
  <si>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</si>
  <si>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</si>
  <si>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</si>
  <si>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</si>
  <si>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</si>
  <si>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</si>
  <si>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</si>
  <si>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</si>
  <si>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</si>
  <si>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</si>
  <si>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</si>
  <si>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</si>
  <si>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</si>
  <si>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</si>
  <si>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</si>
  <si>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</si>
  <si>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</si>
  <si>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</si>
  <si>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</si>
  <si>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</si>
  <si>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</si>
  <si>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</si>
  <si>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</si>
  <si>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</si>
  <si>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</si>
  <si>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</si>
  <si>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</si>
  <si>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</si>
  <si>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</si>
  <si>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</si>
  <si>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</si>
  <si>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</si>
  <si>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</si>
  <si>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</si>
  <si>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</si>
  <si>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</si>
  <si>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</si>
  <si>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</si>
  <si>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</si>
  <si>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</si>
  <si>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</si>
  <si>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</si>
  <si>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</si>
  <si>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</si>
  <si>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</si>
  <si>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</si>
  <si>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</si>
  <si>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</si>
  <si>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</si>
  <si>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</si>
  <si>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</si>
  <si>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</si>
  <si>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</si>
  <si>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</si>
  <si>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</si>
  <si>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</si>
  <si>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</si>
  <si>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</si>
  <si>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</si>
  <si>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</si>
  <si>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</si>
  <si>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</si>
  <si>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</si>
  <si>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</si>
  <si>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</si>
  <si>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</si>
  <si>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</si>
  <si>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</si>
  <si>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</si>
  <si>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</si>
  <si>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</si>
  <si>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</si>
  <si>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</si>
  <si>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</si>
  <si>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</si>
  <si>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</si>
  <si>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</si>
  <si>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</si>
  <si>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</si>
  <si>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</si>
  <si>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</si>
  <si>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</si>
  <si>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</si>
  <si>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</si>
  <si>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</si>
  <si>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</si>
  <si>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</si>
  <si>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</si>
  <si>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</si>
  <si>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</si>
  <si>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</si>
  <si>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</si>
  <si>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</si>
  <si>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</si>
  <si>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</si>
  <si>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</si>
  <si>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</si>
  <si>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</si>
  <si>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</si>
  <si>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</si>
  <si>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</si>
  <si>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</si>
  <si>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</si>
  <si>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</si>
  <si>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</si>
  <si>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</si>
  <si>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</si>
  <si>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</si>
  <si>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</si>
  <si>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</si>
  <si>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</si>
  <si>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</si>
  <si>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</si>
  <si>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</si>
  <si>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</si>
  <si>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</si>
  <si>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</si>
  <si>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</si>
  <si>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</si>
  <si>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</si>
  <si>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</si>
  <si>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</si>
  <si>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</si>
  <si>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</si>
  <si>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</si>
  <si>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</si>
  <si>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</si>
  <si>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</si>
  <si>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</si>
  <si>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</si>
  <si>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</si>
  <si>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</si>
  <si>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</si>
  <si>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</si>
  <si>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</si>
  <si>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</si>
  <si>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</si>
  <si>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</si>
  <si>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</si>
  <si>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</si>
  <si>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</si>
  <si>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</si>
  <si>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</si>
  <si>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</si>
  <si>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</si>
  <si>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</si>
  <si>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</si>
  <si>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</si>
  <si>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</si>
  <si>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</si>
  <si>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</si>
  <si>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</si>
  <si>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</si>
  <si>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</si>
  <si>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</si>
  <si>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</si>
  <si>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</si>
  <si>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</si>
  <si>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</si>
  <si>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</si>
  <si>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</si>
  <si>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</si>
  <si>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</si>
  <si>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</si>
  <si>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</si>
  <si>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</si>
  <si>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</si>
  <si>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</si>
  <si>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</si>
  <si>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</si>
  <si>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</si>
  <si>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</si>
  <si>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</si>
  <si>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</si>
  <si>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</si>
  <si>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</si>
  <si>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</si>
  <si>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</si>
  <si>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</si>
  <si>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</si>
  <si>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</si>
  <si>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</si>
  <si>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</si>
  <si>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</si>
  <si>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</si>
  <si>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</si>
  <si>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</si>
  <si>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</si>
  <si>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</si>
  <si>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</si>
  <si>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</si>
  <si>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</si>
  <si>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</si>
  <si>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</si>
  <si>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</si>
  <si>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</si>
  <si>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</si>
  <si>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</si>
  <si>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</si>
  <si>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</si>
  <si>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</si>
  <si>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</si>
  <si>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</si>
  <si>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</si>
  <si>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</si>
  <si>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</si>
  <si>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</si>
  <si>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</si>
  <si>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</si>
  <si>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</si>
  <si>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</si>
  <si>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</si>
  <si>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</si>
  <si>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</si>
  <si>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</si>
  <si>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</si>
  <si>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</si>
  <si>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</si>
  <si>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</si>
  <si>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</si>
  <si>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</si>
  <si>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</si>
  <si>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</si>
  <si>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</si>
  <si>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</si>
  <si>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</si>
  <si>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</si>
  <si>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</si>
  <si>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</si>
  <si>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</si>
  <si>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</si>
  <si>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</si>
  <si>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</si>
  <si>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</si>
  <si>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</si>
  <si>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</si>
  <si>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</si>
  <si>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</si>
  <si>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</si>
  <si>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</si>
  <si>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</si>
  <si>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</si>
  <si>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</si>
  <si>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</si>
  <si>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</si>
  <si>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</si>
  <si>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</si>
  <si>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</si>
  <si>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</si>
  <si>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</si>
  <si>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</si>
  <si>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</si>
  <si>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</si>
  <si>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</si>
  <si>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</si>
  <si>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</si>
  <si>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</si>
  <si>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</si>
  <si>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</si>
  <si>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</si>
  <si>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</si>
  <si>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</si>
  <si>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</si>
  <si>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</si>
  <si>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</si>
  <si>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</si>
  <si>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</si>
  <si>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</si>
  <si>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</si>
  <si>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</si>
  <si>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</si>
  <si>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</si>
  <si>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</si>
  <si>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</si>
  <si>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</si>
  <si>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</si>
  <si>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</si>
  <si>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</si>
  <si>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</si>
  <si>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</si>
  <si>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</si>
  <si>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</si>
  <si>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</si>
  <si>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</si>
  <si>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</si>
  <si>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</si>
  <si>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</si>
  <si>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</si>
  <si>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</si>
  <si>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</si>
  <si>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</si>
  <si>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</si>
  <si>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</si>
  <si>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</si>
  <si>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</si>
  <si>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</si>
  <si>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</si>
  <si>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</si>
  <si>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</si>
  <si>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</si>
  <si>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</si>
  <si>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</si>
  <si>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</si>
  <si>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</si>
  <si>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</si>
  <si>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</si>
  <si>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</si>
  <si>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</si>
  <si>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</si>
  <si>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</si>
  <si>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</si>
  <si>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</si>
  <si>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</si>
  <si>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</si>
  <si>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</si>
  <si>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</si>
  <si>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</si>
  <si>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</si>
  <si>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</si>
  <si>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</si>
  <si>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</si>
  <si>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</si>
  <si>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</si>
  <si>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</si>
  <si>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</si>
  <si>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</si>
  <si>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</si>
  <si>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</si>
  <si>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</si>
  <si>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</si>
  <si>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</si>
  <si>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</si>
  <si>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</si>
  <si>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</si>
  <si>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</si>
  <si>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</si>
  <si>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</si>
  <si>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</si>
  <si>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</si>
  <si>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</si>
  <si>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</si>
  <si>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</si>
  <si>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</si>
  <si>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</si>
  <si>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</si>
  <si>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</si>
  <si>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</si>
  <si>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</si>
  <si>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</si>
  <si>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</si>
  <si>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</si>
  <si>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</si>
  <si>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</si>
  <si>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</si>
  <si>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</si>
  <si>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</si>
  <si>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</si>
  <si>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</si>
  <si>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</si>
  <si>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</si>
  <si>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</si>
  <si>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</si>
  <si>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</si>
  <si>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</si>
  <si>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</si>
  <si>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</si>
  <si>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</si>
  <si>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</si>
  <si>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</si>
  <si>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</si>
  <si>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</si>
  <si>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</si>
  <si>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</si>
  <si>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</si>
  <si>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</si>
  <si>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</si>
  <si>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</si>
  <si>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</si>
  <si>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</si>
  <si>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</si>
  <si>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</si>
  <si>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</si>
  <si>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</si>
  <si>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</si>
  <si>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</si>
  <si>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</si>
  <si>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</si>
  <si>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</si>
  <si>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</si>
  <si>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</si>
  <si>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</si>
  <si>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</si>
  <si>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</si>
  <si>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</si>
  <si>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</si>
  <si>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</si>
  <si>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</si>
  <si>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</si>
  <si>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</si>
  <si>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</si>
  <si>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</si>
  <si>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</si>
  <si>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</si>
  <si>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</si>
  <si>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</si>
  <si>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</si>
  <si>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</si>
  <si>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</si>
  <si>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</si>
  <si>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</t>
  </si>
  <si>
    <t xml:space="preserve">Deslocamento para TIQ </t>
  </si>
  <si>
    <t>Aguardando descanso da equipe para iniciar o carregamento</t>
  </si>
  <si>
    <t>Em carregamento</t>
  </si>
  <si>
    <t xml:space="preserve"> no 565</t>
  </si>
  <si>
    <t>Equipe pronta as 07:45h aguardando temperatura-chuva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</si>
  <si>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</si>
  <si>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</si>
  <si>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</si>
  <si>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</si>
  <si>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</si>
  <si>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</si>
  <si>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</si>
  <si>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</si>
  <si>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</si>
  <si>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</si>
  <si>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</si>
  <si>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</si>
  <si>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</si>
  <si>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</si>
  <si>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</si>
  <si>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</si>
  <si>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Anísio</t>
  </si>
  <si>
    <t>Inspeção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</si>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</sst>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zoomScaleNormal="100" workbookViewId="0">
      <pane xSplit="6" topLeftCell="G103" activePane="topRight" state="frozen"/>
      <selection pane="topRight" activeCell="K119" sqref="K11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0" t="s">
        <v>1171</v>
      </c>
      <c r="AJ1" s="241"/>
      <c r="AK1" s="241"/>
      <c r="AL1" s="241"/>
      <c r="AM1" s="241"/>
      <c r="AN1" s="241"/>
      <c r="AO1" s="241"/>
      <c r="AP1" s="241"/>
      <c r="AQ1" s="241"/>
      <c r="AR1" s="242"/>
      <c r="AS1" s="242"/>
      <c r="AT1" s="242"/>
      <c r="AU1" s="242"/>
      <c r="AV1" s="242"/>
      <c r="AW1" s="242"/>
      <c r="AX1" s="241"/>
      <c r="AY1" s="241"/>
      <c r="AZ1" s="241"/>
      <c r="BA1" s="241"/>
      <c r="BB1" s="241"/>
      <c r="BC1" s="241"/>
      <c r="BD1" s="241"/>
      <c r="BE1" s="241"/>
      <c r="BF1" s="243"/>
      <c r="BG1" s="3"/>
      <c r="BH1" s="244" t="s">
        <v>1172</v>
      </c>
      <c r="BI1" s="245"/>
      <c r="BJ1" s="246"/>
      <c r="BK1" s="247"/>
      <c r="BL1" s="43"/>
      <c r="BM1" s="237" t="s">
        <v>1173</v>
      </c>
      <c r="BN1" s="238"/>
      <c r="BO1" s="238"/>
      <c r="BP1" s="238"/>
      <c r="BQ1" s="238"/>
      <c r="BR1" s="238"/>
      <c r="BS1" s="239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0" t="s">
        <v>1174</v>
      </c>
      <c r="AJ2" s="241"/>
      <c r="AK2" s="241"/>
      <c r="AL2" s="241"/>
      <c r="AM2" s="241"/>
      <c r="AN2" s="241"/>
      <c r="AO2" s="241"/>
      <c r="AP2" s="241"/>
      <c r="AQ2" s="243"/>
      <c r="AR2" s="159"/>
      <c r="AS2" s="255" t="s">
        <v>1177</v>
      </c>
      <c r="AT2" s="242"/>
      <c r="AU2" s="242"/>
      <c r="AV2" s="242"/>
      <c r="AW2" s="242"/>
      <c r="AX2" s="241"/>
      <c r="AY2" s="243"/>
      <c r="AZ2" s="4"/>
      <c r="BA2" s="234" t="s">
        <v>1178</v>
      </c>
      <c r="BB2" s="236"/>
      <c r="BC2" s="240" t="s">
        <v>1175</v>
      </c>
      <c r="BD2" s="241"/>
      <c r="BE2" s="241"/>
      <c r="BF2" s="243"/>
      <c r="BG2" s="3"/>
      <c r="BH2" s="248"/>
      <c r="BI2" s="249"/>
      <c r="BJ2" s="250"/>
      <c r="BK2" s="251"/>
      <c r="BL2" s="43"/>
      <c r="BM2" s="252"/>
      <c r="BN2" s="253"/>
      <c r="BO2" s="253"/>
      <c r="BP2" s="253"/>
      <c r="BQ2" s="253"/>
      <c r="BR2" s="253"/>
      <c r="BS2" s="25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4" t="s">
        <v>1179</v>
      </c>
      <c r="AJ3" s="236"/>
      <c r="AK3" s="234" t="s">
        <v>1180</v>
      </c>
      <c r="AL3" s="235"/>
      <c r="AM3" s="235"/>
      <c r="AN3" s="235"/>
      <c r="AO3" s="235"/>
      <c r="AP3" s="235"/>
      <c r="AQ3" s="236"/>
      <c r="AR3" s="160"/>
      <c r="AS3" s="258" t="s">
        <v>1186</v>
      </c>
      <c r="AT3" s="259"/>
      <c r="AU3" s="258" t="s">
        <v>1187</v>
      </c>
      <c r="AV3" s="259"/>
      <c r="AW3" s="258" t="s">
        <v>1188</v>
      </c>
      <c r="AX3" s="260"/>
      <c r="AY3" s="57" t="s">
        <v>1189</v>
      </c>
      <c r="AZ3" s="57"/>
      <c r="BA3" s="256"/>
      <c r="BB3" s="257"/>
      <c r="BC3" s="234" t="s">
        <v>1182</v>
      </c>
      <c r="BD3" s="235"/>
      <c r="BE3" s="235"/>
      <c r="BF3" s="236"/>
      <c r="BG3" s="56"/>
      <c r="BH3" s="248"/>
      <c r="BI3" s="249"/>
      <c r="BJ3" s="250"/>
      <c r="BK3" s="251"/>
      <c r="BL3" s="43"/>
      <c r="BM3" s="237" t="s">
        <v>1190</v>
      </c>
      <c r="BN3" s="238"/>
      <c r="BO3" s="238"/>
      <c r="BP3" s="239"/>
      <c r="BQ3" s="237" t="s">
        <v>160</v>
      </c>
      <c r="BR3" s="238"/>
      <c r="BS3" s="239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IF(D100="","*",IFERROR(IF(ISODD(COUNT(AS100:AX102)),"ERRO",SUM((AT100-AS100),(AV100-AU100),(AX100-AW100))),"ERRO"))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>
      <c r="A101" s="44" t="str">
        <f t="shared" si="7"/>
        <v>V8646064</v>
      </c>
      <c r="B101" s="133">
        <v>46064</v>
      </c>
      <c r="C101" s="7">
        <f>IF(BS_CONTROLE[[#This Row],[DATA]]="","",WEEKNUM(BS_CONTROLE[[#This Row],[DATA]]))</f>
        <v>7</v>
      </c>
      <c r="D101" s="45" t="s">
        <v>217</v>
      </c>
      <c r="E101" s="185">
        <v>119</v>
      </c>
      <c r="F101" s="134" t="s">
        <v>116</v>
      </c>
      <c r="G101" s="8" t="str">
        <f>IF(D101="","*",VLOOKUP(F101,BS_ATIVIDADE[#All],3,FALSE))</f>
        <v>MECANIZAÇÃO - SOCADORA</v>
      </c>
      <c r="H101" s="135" t="s">
        <v>649</v>
      </c>
      <c r="I101" s="135" t="s">
        <v>605</v>
      </c>
      <c r="J101" s="151">
        <v>98</v>
      </c>
      <c r="K101" s="151">
        <v>665.9</v>
      </c>
      <c r="L101" s="71">
        <v>664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1" s="135">
        <v>0.4375</v>
      </c>
      <c r="P101" s="135">
        <v>0.125</v>
      </c>
      <c r="Q101" s="71">
        <v>1560</v>
      </c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BASE_MAPA!$B$2:$B$420, BASE_MAPA!$G$2:$G$420), "ERRO")</f>
        <v>ALTO ARAGUAIA - RONDONOPOLIS</v>
      </c>
      <c r="V101" s="143" t="s">
        <v>1272</v>
      </c>
      <c r="W101" s="135" t="s">
        <v>1273</v>
      </c>
      <c r="X101" s="152" t="s">
        <v>1000</v>
      </c>
      <c r="Y101" s="129" t="s">
        <v>999</v>
      </c>
      <c r="Z101" s="129"/>
      <c r="AA101" s="71">
        <v>1</v>
      </c>
      <c r="AB101" s="59" t="s">
        <v>997</v>
      </c>
      <c r="AC101" s="59"/>
      <c r="AD101" s="135">
        <v>0.29166666666666669</v>
      </c>
      <c r="AE101" s="71">
        <v>6236</v>
      </c>
      <c r="AF101" s="71">
        <v>6636</v>
      </c>
      <c r="AG101" s="71" t="s">
        <v>11</v>
      </c>
      <c r="AH101" s="42"/>
      <c r="AI101" s="119" t="str">
        <f>IF(BS_CONTROLE[[#This Row],[Atividade]]=0, "-", BS_CONTROLE[[#This Row],[Atividade]])</f>
        <v>MECANIZAÇÃO - SOCADORA</v>
      </c>
      <c r="AJ101" s="8" t="str">
        <f>IF(D101="","*",VLOOKUP(AI101,BS_ATIVIDADE[#Data],3,FALSE))</f>
        <v>MECANIZAÇÃO - SOCADORA</v>
      </c>
      <c r="AK101" s="175" t="str">
        <f>IF(BS_CONTROLE[[#This Row],[Local - Partida]]=0, "-", BS_CONTROLE[[#This Row],[Local - Partida]])</f>
        <v>TSF1</v>
      </c>
      <c r="AL101" s="175" t="str">
        <f>IF(BS_CONTROLE[[#This Row],[Local - Encerramento]]=0, "-", BS_CONTROLE[[#This Row],[Local - Encerramento]])</f>
        <v>TMJ1</v>
      </c>
      <c r="AM101" s="175" t="str">
        <f>IF(BS_CONTROLE[[#This Row],[Entre - Estações]]=0, "-", BS_CONTROLE[[#This Row],[Entre - Estações]])</f>
        <v>TBS-TAL</v>
      </c>
      <c r="AN101" s="175" t="str">
        <f>IF(BS_CONTROLE[[#This Row],[SB]]=0, "-", BS_CONTROLE[[#This Row],[SB]])</f>
        <v>TBS671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665.9</v>
      </c>
      <c r="AQ101" s="177">
        <f>IF(BS_CONTROLE[[#This Row],[KM - Fim]]=0, "-", BS_CONTROLE[[#This Row],[KM - Fim]])</f>
        <v>664</v>
      </c>
      <c r="AR101" s="32">
        <v>0.37361111111111112</v>
      </c>
      <c r="AS101" s="32">
        <v>0</v>
      </c>
      <c r="AT101" s="32">
        <v>0</v>
      </c>
      <c r="AU101" s="32"/>
      <c r="AV101" s="32"/>
      <c r="AW101" s="32"/>
      <c r="AX101" s="32"/>
      <c r="AY101" s="184">
        <f>IF(D101="","*",IFERROR(IF(ISODD(COUNT(AS101:AX103)),"ERRO",SUM((AT101-AS101),(AV101-AU101),(AX101-AW101))),"ERRO"))</f>
        <v>0</v>
      </c>
      <c r="AZ101" s="11"/>
      <c r="BA101" s="60">
        <v>0</v>
      </c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BASE_MAPA!$B$2:$B$420, BASE_MAPA!$G$2:$G$420), "ERRO")</f>
        <v>ALTO ARAGUAIA - RONDONOPOLIS</v>
      </c>
      <c r="BF101" s="178" t="str">
        <f>IF(BS_CONTROLE[[#This Row],[Responsavel pelo boletim]]=0, "-", BS_CONTROLE[[#This Row],[Responsavel pelo boletim]])</f>
        <v>Antonioni</v>
      </c>
      <c r="BG101" s="13"/>
      <c r="BH101" s="14">
        <v>0</v>
      </c>
      <c r="BI101" s="14"/>
      <c r="BJ101" s="14" t="s">
        <v>1469</v>
      </c>
      <c r="BK101" s="14" t="s">
        <v>1470</v>
      </c>
      <c r="BL101" s="13"/>
      <c r="BM101" s="12" t="s">
        <v>1024</v>
      </c>
      <c r="BN101" s="12" t="s">
        <v>1045</v>
      </c>
      <c r="BO101" s="130" t="s">
        <v>1155</v>
      </c>
      <c r="BP101" s="14"/>
      <c r="BQ101" s="10" t="str">
        <f t="shared" si="8"/>
        <v>Produção e Intervalo</v>
      </c>
      <c r="BR101" s="15">
        <f t="shared" si="9"/>
        <v>0</v>
      </c>
      <c r="BS101" s="15">
        <f t="shared" si="10"/>
        <v>0</v>
      </c>
      <c r="BT101" s="157" t="str">
        <f t="shared" si="11"/>
        <v>CCOCirculaçãoIntervaloContrato</v>
      </c>
    </row>
    <row r="102" spans="1:72">
      <c r="A102" s="44" t="str">
        <f t="shared" si="7"/>
        <v>FRANCISCO (TF-19)46064</v>
      </c>
      <c r="B102" s="133">
        <v>46064</v>
      </c>
      <c r="C102" s="7">
        <f>IF(BS_CONTROLE[[#This Row],[DATA]]="","",WEEKNUM(BS_CONTROLE[[#This Row],[DATA]]))</f>
        <v>7</v>
      </c>
      <c r="D102" s="45" t="s">
        <v>306</v>
      </c>
      <c r="E102" s="185">
        <v>120</v>
      </c>
      <c r="F102" s="134" t="s">
        <v>200</v>
      </c>
      <c r="G102" s="8" t="str">
        <f>IF(D102="","*",VLOOKUP(F102,BS_ATIVIDADE[#All],3,FALSE))</f>
        <v>TRILHO - SUBSTITUIÇÂO</v>
      </c>
      <c r="H102" s="149" t="str" cm="1">
        <f t="array" ref="H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2" s="135" t="s">
        <v>11</v>
      </c>
      <c r="J102" s="151">
        <v>98</v>
      </c>
      <c r="K102" s="151">
        <v>565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2" s="135">
        <v>0.375</v>
      </c>
      <c r="P102" s="135">
        <v>4.1666666666666664E-2</v>
      </c>
      <c r="Q102" s="71">
        <v>20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1310</v>
      </c>
      <c r="W102" s="135" t="s">
        <v>1299</v>
      </c>
      <c r="X102" s="152" t="s">
        <v>1005</v>
      </c>
      <c r="Y102" s="129" t="s">
        <v>1008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SUBSTITUIÇÃO - TRILHO</v>
      </c>
      <c r="AJ102" s="8" t="str">
        <f>IF(D102="","*",VLOOKUP(AI102,BS_ATIVIDADE[#Data],3,FALSE))</f>
        <v>TRILHO - SUBSTITUIÇÂO</v>
      </c>
      <c r="AK102" s="175" t="str">
        <f>IF(BS_CONTROLE[[#This Row],[Local - Partida]]=0, "-", BS_CONTROLE[[#This Row],[Local - Partida]])</f>
        <v>TEPPAT1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TEP-TMJ</v>
      </c>
      <c r="AN102" s="175" t="str">
        <f>IF(BS_CONTROLE[[#This Row],[SB]]=0, "-", BS_CONTROLE[[#This Row],[SB]])</f>
        <v>TEPPAT1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565</v>
      </c>
      <c r="AQ102" s="177" t="str">
        <f>IF(BS_CONTROLE[[#This Row],[KM - Fim]]=0, "-", BS_CONTROLE[[#This Row],[KM - Fim]])</f>
        <v>-</v>
      </c>
      <c r="AR102" s="32">
        <v>0.45833333333333331</v>
      </c>
      <c r="AS102" s="32">
        <v>0.49305555555555558</v>
      </c>
      <c r="AT102" s="32">
        <v>0.53472222222222221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4.166666666666663E-2</v>
      </c>
      <c r="AZ102" s="11"/>
      <c r="BA102" s="60"/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Francisco</v>
      </c>
      <c r="BG102" s="13"/>
      <c r="BH102" s="14">
        <v>1</v>
      </c>
      <c r="BI102" s="14"/>
      <c r="BJ102" s="14" t="s">
        <v>1471</v>
      </c>
      <c r="BK102" s="14" t="s">
        <v>1472</v>
      </c>
      <c r="BL102" s="13"/>
      <c r="BM102" s="12"/>
      <c r="BN102" s="12"/>
      <c r="BO102" s="130"/>
      <c r="BP102" s="14"/>
      <c r="BQ102" s="10" t="str">
        <f t="shared" si="8"/>
        <v>Produção e Intervalo</v>
      </c>
      <c r="BR102" s="15">
        <f t="shared" si="9"/>
        <v>0.99999999999999911</v>
      </c>
      <c r="BS102" s="15">
        <f t="shared" si="10"/>
        <v>0</v>
      </c>
      <c r="BT102" s="157" t="str">
        <f t="shared" si="11"/>
        <v/>
      </c>
    </row>
    <row r="103" spans="1:72">
      <c r="A103" s="44" t="str">
        <f t="shared" si="7"/>
        <v>BRUNO (TF-525)46064</v>
      </c>
      <c r="B103" s="133">
        <v>46064</v>
      </c>
      <c r="C103" s="7">
        <f>IF(BS_CONTROLE[[#This Row],[DATA]]="","",WEEKNUM(BS_CONTROLE[[#This Row],[DATA]]))</f>
        <v>7</v>
      </c>
      <c r="D103" s="45" t="s">
        <v>278</v>
      </c>
      <c r="E103" s="185">
        <v>105</v>
      </c>
      <c r="F103" s="134" t="s">
        <v>193</v>
      </c>
      <c r="G103" s="8" t="str">
        <f>IF(D103="","*",VLOOKUP(F103,BS_ATIVIDADE[#All],3,FALSE))</f>
        <v>SOLDA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3" s="135" t="s">
        <v>11</v>
      </c>
      <c r="J103" s="151">
        <v>98</v>
      </c>
      <c r="K103" s="151">
        <v>548.16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3" s="149" t="s">
        <v>1428</v>
      </c>
      <c r="O103" s="135">
        <v>0.33333333333333331</v>
      </c>
      <c r="P103" s="135">
        <v>6.25E-2</v>
      </c>
      <c r="Q103" s="71">
        <v>1</v>
      </c>
      <c r="R103" s="9" t="str">
        <f>IFERROR(_xlfn.XLOOKUP(F103, BS_ATIVIDADE[ATIVIDADE],BS_ATIVIDADE[UNIDADE] ), "*")</f>
        <v>Nº DE SOLDA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1314</v>
      </c>
      <c r="W103" s="135" t="s">
        <v>1315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SOLDA</v>
      </c>
      <c r="AJ103" s="8" t="str">
        <f>IF(D103="","*",VLOOKUP(AI103,BS_ATIVIDADE[#Data],3,FALSE))</f>
        <v>SOLDA</v>
      </c>
      <c r="AK103" s="175" t="str">
        <f>IF(BS_CONTROLE[[#This Row],[Local - Partida]]=0, "-", BS_CONTROLE[[#This Row],[Local - Partida]])</f>
        <v>TRM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TRM</v>
      </c>
      <c r="AN103" s="175" t="str">
        <f>IF(BS_CONTROLE[[#This Row],[SB]]=0, "-", BS_CONTROLE[[#This Row],[SB]])</f>
        <v>TRMS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548.16</v>
      </c>
      <c r="AQ103" s="177" t="str">
        <f>IF(BS_CONTROLE[[#This Row],[KM - Fim]]=0, "-", BS_CONTROLE[[#This Row],[KM - Fim]])</f>
        <v>-</v>
      </c>
      <c r="AR103" s="32">
        <v>0.30972222222222223</v>
      </c>
      <c r="AS103" s="32"/>
      <c r="AT103" s="32"/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Nº DE SOLDA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Bruno</v>
      </c>
      <c r="BG103" s="13"/>
      <c r="BH103" s="14"/>
      <c r="BI103" s="14"/>
      <c r="BJ103" s="14" t="s">
        <v>1473</v>
      </c>
      <c r="BK103" s="14" t="s">
        <v>1474</v>
      </c>
      <c r="BL103" s="13"/>
      <c r="BM103" s="12"/>
      <c r="BN103" s="12"/>
      <c r="BO103" s="130"/>
      <c r="BP103" s="14"/>
      <c r="BQ103" s="10" t="str">
        <f t="shared" si="8"/>
        <v>Produção e Intervalo</v>
      </c>
      <c r="BR103" s="15">
        <f t="shared" si="9"/>
        <v>0</v>
      </c>
      <c r="BS103" s="15">
        <f t="shared" si="10"/>
        <v>0</v>
      </c>
      <c r="BT103" s="157" t="str">
        <f t="shared" si="11"/>
        <v/>
      </c>
    </row>
    <row r="104" spans="1:72">
      <c r="A104" s="44" t="str">
        <f t="shared" si="7"/>
        <v>W7046064</v>
      </c>
      <c r="B104" s="133">
        <v>46064</v>
      </c>
      <c r="C104" s="7">
        <f>IF(BS_CONTROLE[[#This Row],[DATA]]="","",WEEKNUM(BS_CONTROLE[[#This Row],[DATA]]))</f>
        <v>7</v>
      </c>
      <c r="D104" s="45" t="s">
        <v>249</v>
      </c>
      <c r="E104" s="185"/>
      <c r="F104" s="134" t="s">
        <v>25</v>
      </c>
      <c r="G104" s="8" t="str">
        <f>IF(D104="","*",VLOOKUP(F104,BS_ATIVIDADE[#All],3,FALSE))</f>
        <v>OUTROS</v>
      </c>
      <c r="H104" s="135" t="s">
        <v>574</v>
      </c>
      <c r="I104" s="135" t="s">
        <v>619</v>
      </c>
      <c r="J104" s="151">
        <v>98</v>
      </c>
      <c r="K104" s="151">
        <v>502</v>
      </c>
      <c r="L104" s="71" t="s">
        <v>11</v>
      </c>
      <c r="M104" s="149" t="s">
        <v>1261</v>
      </c>
      <c r="N104" s="149" t="s">
        <v>1262</v>
      </c>
      <c r="O104" s="135">
        <v>0.75</v>
      </c>
      <c r="P104" s="135">
        <v>4.1666666666666664E-2</v>
      </c>
      <c r="Q104" s="71">
        <v>27</v>
      </c>
      <c r="R104" s="9" t="str">
        <f>IFERROR(_xlfn.XLOOKUP(F104, BS_ATIVIDADE[ATIVIDADE],BS_ATIVIDADE[UNIDADE] ), "*")</f>
        <v>BINÁRIO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1303</v>
      </c>
      <c r="W104" s="135" t="s">
        <v>1475</v>
      </c>
      <c r="X104" s="152" t="s">
        <v>1005</v>
      </c>
      <c r="Y104" s="129" t="s">
        <v>1008</v>
      </c>
      <c r="Z104" s="129"/>
      <c r="AA104" s="71">
        <v>2</v>
      </c>
      <c r="AB104" s="59" t="s">
        <v>997</v>
      </c>
      <c r="AC104" s="59"/>
      <c r="AD104" s="135">
        <v>0.75</v>
      </c>
      <c r="AE104" s="71">
        <v>9425</v>
      </c>
      <c r="AF104" s="71">
        <v>7632</v>
      </c>
      <c r="AG104" s="71" t="s">
        <v>11</v>
      </c>
      <c r="AH104" s="42"/>
      <c r="AI104" s="119" t="str">
        <f>IF(BS_CONTROLE[[#This Row],[Atividade]]=0, "-", BS_CONTROLE[[#This Row],[Atividade]])</f>
        <v>DESLOCAMENTO</v>
      </c>
      <c r="AJ104" s="8" t="str">
        <f>IF(D104="","*",VLOOKUP(AI104,BS_ATIVIDADE[#Data],3,FALSE))</f>
        <v>OUTROS</v>
      </c>
      <c r="AK104" s="175" t="str">
        <f>IF(BS_CONTROLE[[#This Row],[Local - Partida]]=0, "-", BS_CONTROLE[[#This Row],[Local - Partida]])</f>
        <v>TGR2</v>
      </c>
      <c r="AL104" s="175" t="str">
        <f>IF(BS_CONTROLE[[#This Row],[Local - Encerramento]]=0, "-", BS_CONTROLE[[#This Row],[Local - Encerramento]])</f>
        <v>TIQ2</v>
      </c>
      <c r="AM104" s="175" t="str">
        <f>IF(BS_CONTROLE[[#This Row],[Entre - Estações]]=0, "-", BS_CONTROLE[[#This Row],[Entre - Estações]])</f>
        <v>TGR-TIQ</v>
      </c>
      <c r="AN104" s="175" t="str">
        <f>IF(BS_CONTROLE[[#This Row],[SB]]=0, "-", BS_CONTROLE[[#This Row],[SB]])</f>
        <v>TGRTIQ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502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ERRO</v>
      </c>
      <c r="AZ104" s="11"/>
      <c r="BA104" s="60"/>
      <c r="BB104" s="9" t="str">
        <f>IFERROR(_xlfn.XLOOKUP(AI104, BS_ATIVIDADE[ATIVIDADE],BS_ATIVIDADE[UNIDADE] ), "*")</f>
        <v>BINÁRIO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 xml:space="preserve">Camila </v>
      </c>
      <c r="BG104" s="13"/>
      <c r="BH104" s="14"/>
      <c r="BI104" s="14"/>
      <c r="BJ104" s="14" t="s">
        <v>1476</v>
      </c>
      <c r="BK104" s="14" t="s">
        <v>1477</v>
      </c>
      <c r="BL104" s="13"/>
      <c r="BM104" s="12"/>
      <c r="BN104" s="12"/>
      <c r="BO104" s="130"/>
      <c r="BP104" s="14"/>
      <c r="BQ104" s="10" t="e">
        <f t="shared" si="8"/>
        <v>#VALUE!</v>
      </c>
      <c r="BR104" s="15" t="e">
        <f t="shared" si="9"/>
        <v>#VALUE!</v>
      </c>
      <c r="BS104" s="15">
        <f t="shared" si="10"/>
        <v>0</v>
      </c>
      <c r="BT104" s="157" t="str">
        <f t="shared" si="11"/>
        <v/>
      </c>
    </row>
    <row r="105" spans="1:72">
      <c r="A105" s="44" t="str">
        <f t="shared" si="7"/>
        <v>ELSON (TF-526)46064</v>
      </c>
      <c r="B105" s="133">
        <v>46064</v>
      </c>
      <c r="C105" s="7">
        <f>IF(BS_CONTROLE[[#This Row],[DATA]]="","",WEEKNUM(BS_CONTROLE[[#This Row],[DATA]]))</f>
        <v>7</v>
      </c>
      <c r="D105" s="45" t="s">
        <v>303</v>
      </c>
      <c r="E105" s="185">
        <v>106</v>
      </c>
      <c r="F105" s="134" t="s">
        <v>193</v>
      </c>
      <c r="G105" s="8" t="str">
        <f>IF(D105="","*",VLOOKUP(F105,BS_ATIVIDADE[#All],3,FALSE))</f>
        <v>SOLDA</v>
      </c>
      <c r="H105" s="135" t="s">
        <v>11</v>
      </c>
      <c r="I105" s="135" t="s">
        <v>11</v>
      </c>
      <c r="J105" s="151">
        <v>74</v>
      </c>
      <c r="K105" s="151">
        <v>430.26799999999997</v>
      </c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5" s="135">
        <v>0.375</v>
      </c>
      <c r="P105" s="135">
        <v>0.125</v>
      </c>
      <c r="Q105" s="71">
        <v>2</v>
      </c>
      <c r="R105" s="9" t="str">
        <f>IFERROR(_xlfn.XLOOKUP(F105, BS_ATIVIDADE[ATIVIDADE],BS_ATIVIDADE[UNIDADE] ), "*")</f>
        <v>Nº DE SOLDA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199" t="str">
        <f>IFERROR(_xlfn.XLOOKUP(J105, BASE_MAPA!$B$2:$B$420, BASE_MAPA!$G$2:$G$420), "ERRO")</f>
        <v>MARCO INICIAL - ALTO ARAGUAIA</v>
      </c>
      <c r="V105" s="143" t="s">
        <v>1287</v>
      </c>
      <c r="W105" s="135" t="s">
        <v>1315</v>
      </c>
      <c r="X105" s="152" t="s">
        <v>1000</v>
      </c>
      <c r="Y105" s="129" t="s">
        <v>999</v>
      </c>
      <c r="Z105" s="129"/>
      <c r="AA105" s="71"/>
      <c r="AB105" s="59"/>
      <c r="AC105" s="59"/>
      <c r="AD105" s="135" t="s">
        <v>11</v>
      </c>
      <c r="AE105" s="71" t="s">
        <v>11</v>
      </c>
      <c r="AF105" s="71" t="s">
        <v>11</v>
      </c>
      <c r="AG105" s="71" t="s">
        <v>11</v>
      </c>
      <c r="AH105" s="42"/>
      <c r="AI105" s="119" t="str">
        <f>IF(BS_CONTROLE[[#This Row],[Atividade]]=0, "-", BS_CONTROLE[[#This Row],[Atividade]])</f>
        <v>PDM - SOLDA</v>
      </c>
      <c r="AJ105" s="8" t="str">
        <f>IF(D105="","*",VLOOKUP(AI105,BS_ATIVIDADE[#Data],3,FALSE))</f>
        <v>SOLDA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TPC-TVL</v>
      </c>
      <c r="AN105" s="175" t="str">
        <f>IF(BS_CONTROLE[[#This Row],[SB]]=0, "-", BS_CONTROLE[[#This Row],[SB]])</f>
        <v>TPC440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430.26799999999997</v>
      </c>
      <c r="AQ105" s="177" t="s">
        <v>1478</v>
      </c>
      <c r="AR105" s="32">
        <v>0.32291666666666669</v>
      </c>
      <c r="AS105" s="32"/>
      <c r="AT105" s="32"/>
      <c r="AU105" s="32"/>
      <c r="AV105" s="32"/>
      <c r="AW105" s="32"/>
      <c r="AX105" s="32"/>
      <c r="AY105" s="184" t="str">
        <f>IF(D105="","*",IFERROR(IF(ISODD(COUNT(AS105:AX108)),"ERRO",SUM((AT105-AS105),(AV105-AU105),(AX105-AW105))),"ERRO"))</f>
        <v>ERRO</v>
      </c>
      <c r="AZ105" s="11"/>
      <c r="BA105" s="60"/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200" t="str">
        <f>IFERROR(_xlfn.XLOOKUP(AO105, BASE_MAPA!$B$2:$B$420, BASE_MAPA!$G$2:$G$420), "ERRO")</f>
        <v>MARCO INICIAL - ALTO ARAGUAIA</v>
      </c>
      <c r="BF105" s="178" t="str">
        <f>IF(BS_CONTROLE[[#This Row],[Responsavel pelo boletim]]=0, "-", BS_CONTROLE[[#This Row],[Responsavel pelo boletim]])</f>
        <v>Elson</v>
      </c>
      <c r="BG105" s="13"/>
      <c r="BH105" s="14">
        <v>0</v>
      </c>
      <c r="BI105" s="14"/>
      <c r="BJ105" s="14" t="s">
        <v>1479</v>
      </c>
      <c r="BK105" s="14" t="s">
        <v>1116</v>
      </c>
      <c r="BL105" s="13"/>
      <c r="BM105" s="12"/>
      <c r="BN105" s="12"/>
      <c r="BO105" s="130"/>
      <c r="BP105" s="14"/>
      <c r="BQ105" s="10" t="e">
        <f t="shared" si="8"/>
        <v>#VALUE!</v>
      </c>
      <c r="BR105" s="15" t="e">
        <f t="shared" si="9"/>
        <v>#VALUE!</v>
      </c>
      <c r="BS105" s="15">
        <f t="shared" si="10"/>
        <v>0</v>
      </c>
      <c r="BT105" s="157" t="str">
        <f t="shared" si="11"/>
        <v/>
      </c>
    </row>
    <row r="106" spans="1:72">
      <c r="A106" s="44" t="str">
        <f t="shared" si="7"/>
        <v>A6046064</v>
      </c>
      <c r="B106" s="133">
        <v>46064</v>
      </c>
      <c r="C106" s="7">
        <f>IF(BS_CONTROLE[[#This Row],[DATA]]="","",WEEKNUM(BS_CONTROLE[[#This Row],[DATA]]))</f>
        <v>7</v>
      </c>
      <c r="D106" s="45" t="s">
        <v>106</v>
      </c>
      <c r="E106" s="185">
        <v>124</v>
      </c>
      <c r="F106" s="134" t="s">
        <v>32</v>
      </c>
      <c r="G106" s="8" t="str">
        <f>IF(D106="","*",VLOOKUP(F106,BS_ATIVIDADE[#All],3,FALSE))</f>
        <v>DETECÇÃO</v>
      </c>
      <c r="H106" s="135" t="s">
        <v>479</v>
      </c>
      <c r="I106" s="135" t="s">
        <v>576</v>
      </c>
      <c r="J106" s="151">
        <v>74</v>
      </c>
      <c r="K106" s="151">
        <v>290.74</v>
      </c>
      <c r="L106" s="71" t="s">
        <v>11</v>
      </c>
      <c r="M106" s="149" t="s">
        <v>480</v>
      </c>
      <c r="N106" s="149" t="s">
        <v>1480</v>
      </c>
      <c r="O106" s="135">
        <v>0.375</v>
      </c>
      <c r="P106" s="135">
        <v>4.1666666666666664E-2</v>
      </c>
      <c r="Q106" s="71">
        <v>210</v>
      </c>
      <c r="R106" s="9" t="str">
        <f>IFERROR(_xlfn.XLOOKUP(F106, BS_ATIVIDADE[ATIVIDADE],BS_ATIVIDADE[UNIDADE] ), "*")</f>
        <v>KM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BASE_MAPA!$B$2:$B$420, BASE_MAPA!$G$2:$G$420), "ERRO")</f>
        <v>MARCO INICIAL - ALTO ARAGUAIA</v>
      </c>
      <c r="V106" s="143" t="s">
        <v>1481</v>
      </c>
      <c r="W106" s="135" t="s">
        <v>1482</v>
      </c>
      <c r="X106" s="152" t="s">
        <v>1000</v>
      </c>
      <c r="Y106" s="129" t="s">
        <v>999</v>
      </c>
      <c r="Z106" s="129"/>
      <c r="AA106" s="71">
        <v>1</v>
      </c>
      <c r="AB106" s="59" t="s">
        <v>997</v>
      </c>
      <c r="AC106" s="59"/>
      <c r="AD106" s="135">
        <v>0.29166666666666669</v>
      </c>
      <c r="AE106" s="71">
        <v>5487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DETECÇÃO - RONDA 7 DIAS</v>
      </c>
      <c r="AJ106" s="8" t="str">
        <f>IF(D106="","*",VLOOKUP(AI106,BS_ATIVIDADE[#Data],3,FALSE))</f>
        <v>DETECÇÃO</v>
      </c>
      <c r="AK106" s="175" t="str">
        <f>IF(BS_CONTROLE[[#This Row],[Local - Partida]]=0, "-", BS_CONTROLE[[#This Row],[Local - Partida]])</f>
        <v>TCS291</v>
      </c>
      <c r="AL106" s="175" t="str">
        <f>IF(BS_CONTROLE[[#This Row],[Local - Encerramento]]=0, "-", BS_CONTROLE[[#This Row],[Local - Encerramento]])</f>
        <v>TGR512</v>
      </c>
      <c r="AM106" s="175" t="str">
        <f>IF(BS_CONTROLE[[#This Row],[Entre - Estações]]=0, "-", BS_CONTROLE[[#This Row],[Entre - Estações]])</f>
        <v>TCS-TGR</v>
      </c>
      <c r="AN106" s="175" t="str">
        <f>IF(BS_CONTROLE[[#This Row],[SB]]=0, "-", BS_CONTROLE[[#This Row],[SB]])</f>
        <v>TCSTGR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290.74</v>
      </c>
      <c r="AQ106" s="177" t="str">
        <f>IF(BS_CONTROLE[[#This Row],[KM - Fim]]=0, "-", BS_CONTROLE[[#This Row],[KM - Fim]])</f>
        <v>-</v>
      </c>
      <c r="AR106" s="32">
        <v>0.34652777777777777</v>
      </c>
      <c r="AS106" s="32">
        <v>0.38611111111111113</v>
      </c>
      <c r="AT106" s="32"/>
      <c r="AU106" s="32"/>
      <c r="AV106" s="32"/>
      <c r="AW106" s="32"/>
      <c r="AX106" s="32"/>
      <c r="AY106" s="184" t="str">
        <f>IF(D106="","*",IFERROR(IF(ISODD(COUNT(AS106:AX109)),"ERRO",SUM((AT106-AS106),(AV106-AU106),(AX106-AW106))),"ERRO"))</f>
        <v>ERRO</v>
      </c>
      <c r="AZ106" s="11"/>
      <c r="BA106" s="60"/>
      <c r="BB106" s="9" t="str">
        <f>IFERROR(_xlfn.XLOOKUP(AI106, BS_ATIVIDADE[ATIVIDADE],BS_ATIVIDADE[UNIDADE] ), "*")</f>
        <v>KM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Daniel</v>
      </c>
      <c r="BG106" s="13"/>
      <c r="BH106" s="14">
        <v>1</v>
      </c>
      <c r="BI106" s="14"/>
      <c r="BJ106" s="14" t="s">
        <v>1483</v>
      </c>
      <c r="BK106" s="14" t="s">
        <v>1484</v>
      </c>
      <c r="BL106" s="13"/>
      <c r="BM106" s="12"/>
      <c r="BN106" s="12"/>
      <c r="BO106" s="130"/>
      <c r="BP106" s="14"/>
      <c r="BQ106" s="10" t="e">
        <f t="shared" si="8"/>
        <v>#VALUE!</v>
      </c>
      <c r="BR106" s="15" t="e">
        <f t="shared" si="9"/>
        <v>#VALUE!</v>
      </c>
      <c r="BS106" s="15">
        <f t="shared" si="10"/>
        <v>0</v>
      </c>
      <c r="BT106" s="157" t="str">
        <f t="shared" si="11"/>
        <v/>
      </c>
    </row>
    <row r="107" spans="1:72" ht="15" customHeight="1">
      <c r="A107" s="202" t="str">
        <f>D107&amp;B107</f>
        <v>V6646064</v>
      </c>
      <c r="B107" s="203">
        <v>46064</v>
      </c>
      <c r="C107" s="7">
        <f>IF(BS_CONTROLE[[#This Row],[DATA]]="","",WEEKNUM(BS_CONTROLE[[#This Row],[DATA]]))</f>
        <v>7</v>
      </c>
      <c r="D107" s="45" t="s">
        <v>192</v>
      </c>
      <c r="E107" s="185"/>
      <c r="F107" s="134" t="s">
        <v>235</v>
      </c>
      <c r="G107" s="8" t="str">
        <f>IF(D107="","*",VLOOKUP(F107,BS_ATIVIDADE[#All],3,FALSE))</f>
        <v>MODERNIZAÇÃO</v>
      </c>
      <c r="H107" s="135" t="s">
        <v>451</v>
      </c>
      <c r="I107" s="135" t="s">
        <v>451</v>
      </c>
      <c r="J107" s="151">
        <v>74</v>
      </c>
      <c r="K107" s="151">
        <v>174</v>
      </c>
      <c r="L107" s="71">
        <v>175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7" s="135">
        <v>0.375</v>
      </c>
      <c r="P107" s="135">
        <v>8.3333333333333329E-2</v>
      </c>
      <c r="Q107" s="71">
        <v>500</v>
      </c>
      <c r="R107" s="9" t="str">
        <f>IFERROR(_xlfn.XLOOKUP(F107, BS_ATIVIDADE[ATIVIDADE],BS_ATIVIDADE[UNIDADE] ), "*")</f>
        <v>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205" t="s">
        <v>1358</v>
      </c>
      <c r="W107" s="206" t="s">
        <v>1420</v>
      </c>
      <c r="X107" s="152" t="s">
        <v>1009</v>
      </c>
      <c r="Y107" s="129"/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6066</v>
      </c>
      <c r="AF107" s="71"/>
      <c r="AG107" s="71"/>
      <c r="AH107" s="42"/>
      <c r="AI107" s="119" t="str">
        <f>IF(BS_CONTROLE[[#This Row],[Atividade]]=0, "-", BS_CONTROLE[[#This Row],[Atividade]])</f>
        <v>MODERNIZAÇÃO - REGULAGEM</v>
      </c>
      <c r="AJ107" s="8" t="str">
        <f>IF(D107="","*",VLOOKUP(AI107,BS_ATIVIDADE[#Data],3,FALSE))</f>
        <v>MODERNIZAÇÃO</v>
      </c>
      <c r="AK107" s="207" t="str">
        <f>IF(BS_CONTROLE[[#This Row],[Local - Partida]]=0, "-", BS_CONTROLE[[#This Row],[Local - Partida]])</f>
        <v>TID2</v>
      </c>
      <c r="AL107" s="207" t="str">
        <f>IF(BS_CONTROLE[[#This Row],[Local - Encerramento]]=0, "-", BS_CONTROLE[[#This Row],[Local - Encerramento]])</f>
        <v>TID2</v>
      </c>
      <c r="AM107" s="207" t="str">
        <f>IF(BS_CONTROLE[[#This Row],[Entre - Estações]]=0, "-", BS_CONTROLE[[#This Row],[Entre - Estações]])</f>
        <v>TCE-TID</v>
      </c>
      <c r="AN107" s="207" t="str">
        <f>IF(BS_CONTROLE[[#This Row],[SB]]=0, "-", BS_CONTROLE[[#This Row],[SB]])</f>
        <v>TCE177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174</v>
      </c>
      <c r="AQ107" s="177">
        <f>IF(BS_CONTROLE[[#This Row],[KM - Fim]]=0, "-", BS_CONTROLE[[#This Row],[KM - Fim]])</f>
        <v>175</v>
      </c>
      <c r="AR107" s="208">
        <v>0.37430555555555556</v>
      </c>
      <c r="AS107" s="208"/>
      <c r="AT107" s="208"/>
      <c r="AU107" s="208"/>
      <c r="AV107" s="208"/>
      <c r="AW107" s="208"/>
      <c r="AX107" s="32"/>
      <c r="AY107" s="184">
        <f>IF(D107="","*",IFERROR(IF(ISODD(COUNT(AS107:AX109)),"ERRO",SUM((AT107-AS107),(AV107-AU107),(AX107-AW107))),"ERRO"))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Augusto/ Efraim</v>
      </c>
      <c r="BG107" s="13"/>
      <c r="BH107" s="14">
        <v>1</v>
      </c>
      <c r="BI107" s="14"/>
      <c r="BJ107" s="233" t="s">
        <v>1485</v>
      </c>
      <c r="BK107" s="14" t="s">
        <v>1486</v>
      </c>
      <c r="BL107" s="13"/>
      <c r="BM107" s="12"/>
      <c r="BN107" s="12"/>
      <c r="BO107" s="130"/>
      <c r="BP107" s="14"/>
      <c r="BQ107" s="10" t="str">
        <f>IF(AND(BR107&lt;1,BS107&lt;1),"Produção e Intervalo",IF(BR107&lt;1,"Intervalo",IF(BS107&lt;1,"Produção","Aderente")))</f>
        <v>Produção e Intervalo</v>
      </c>
      <c r="BR107" s="15">
        <f>IF(OR(B107="",F107=""),"*",AY107/P107)</f>
        <v>0</v>
      </c>
      <c r="BS107" s="15">
        <f>IF(OR(B107="",F107=""),"*",BA107/Q107)</f>
        <v>0</v>
      </c>
      <c r="BT107" s="157"/>
    </row>
    <row r="108" spans="1:72">
      <c r="A108" s="44" t="str">
        <f t="shared" si="7"/>
        <v>W5046064</v>
      </c>
      <c r="B108" s="133">
        <v>46064</v>
      </c>
      <c r="C108" s="7">
        <f>IF(BS_CONTROLE[[#This Row],[DATA]]="","",WEEKNUM(BS_CONTROLE[[#This Row],[DATA]]))</f>
        <v>7</v>
      </c>
      <c r="D108" s="45" t="s">
        <v>240</v>
      </c>
      <c r="E108" s="185">
        <v>125</v>
      </c>
      <c r="F108" s="134" t="s">
        <v>140</v>
      </c>
      <c r="G108" s="8" t="str">
        <f>IF(D108="","*",VLOOKUP(F108,BS_ATIVIDADE[#All],3,FALSE))</f>
        <v>MODERNIZAÇÃO</v>
      </c>
      <c r="H108" s="135" t="s">
        <v>1487</v>
      </c>
      <c r="I108" s="135" t="s">
        <v>1487</v>
      </c>
      <c r="J108" s="151">
        <v>74</v>
      </c>
      <c r="K108" s="151">
        <v>250</v>
      </c>
      <c r="L108" s="71">
        <v>239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8" s="149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8" s="135">
        <v>0.375</v>
      </c>
      <c r="P108" s="135">
        <v>8.3333333333333329E-2</v>
      </c>
      <c r="Q108" s="71">
        <v>15</v>
      </c>
      <c r="R108" s="9" t="str">
        <f>IFERROR(_xlfn.XLOOKUP(F108, BS_ATIVIDADE[ATIVIDADE],BS_ATIVIDADE[UNIDADE] ), "*")</f>
        <v>VAGÕES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143" t="s">
        <v>1358</v>
      </c>
      <c r="W108" s="135" t="s">
        <v>1304</v>
      </c>
      <c r="X108" s="152" t="s">
        <v>1005</v>
      </c>
      <c r="Y108" s="129" t="s">
        <v>1008</v>
      </c>
      <c r="Z108" s="129"/>
      <c r="AA108" s="71" t="s">
        <v>1329</v>
      </c>
      <c r="AB108" s="59" t="s">
        <v>997</v>
      </c>
      <c r="AC108" s="59"/>
      <c r="AD108" s="135">
        <v>0.29166666666666669</v>
      </c>
      <c r="AE108" s="71">
        <v>7671</v>
      </c>
      <c r="AF108" s="71">
        <v>9322</v>
      </c>
      <c r="AG108" s="71" t="s">
        <v>11</v>
      </c>
      <c r="AH108" s="42"/>
      <c r="AI108" s="119" t="str">
        <f>IF(BS_CONTROLE[[#This Row],[Atividade]]=0, "-", BS_CONTROLE[[#This Row],[Atividade]])</f>
        <v>MODERNIZAÇÃO - PEDRA - DESCARGA</v>
      </c>
      <c r="AJ108" s="8" t="str">
        <f>IF(D108="","*",VLOOKUP(AI108,BS_ATIVIDADE[#Data],3,FALSE))</f>
        <v>MODERNIZAÇÃO</v>
      </c>
      <c r="AK108" s="175" t="str">
        <f>IF(BS_CONTROLE[[#This Row],[Local - Partida]]=0, "-", BS_CONTROLE[[#This Row],[Local - Partida]])</f>
        <v xml:space="preserve">TCS2 </v>
      </c>
      <c r="AL108" s="175" t="str">
        <f>IF(BS_CONTROLE[[#This Row],[Local - Encerramento]]=0, "-", BS_CONTROLE[[#This Row],[Local - Encerramento]])</f>
        <v xml:space="preserve">TCS2 </v>
      </c>
      <c r="AM108" s="175" t="str">
        <f>IF(BS_CONTROLE[[#This Row],[Entre - Estações]]=0, "-", BS_CONTROLE[[#This Row],[Entre - Estações]])</f>
        <v>TVI-TJA</v>
      </c>
      <c r="AN108" s="175">
        <f>IF(BS_CONTROLE[[#This Row],[SB]]=0, "-", BS_CONTROLE[[#This Row],[SB]])</f>
        <v>239251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250</v>
      </c>
      <c r="AQ108" s="177">
        <f>IF(BS_CONTROLE[[#This Row],[KM - Fim]]=0, "-", BS_CONTROLE[[#This Row],[KM - Fim]])</f>
        <v>239</v>
      </c>
      <c r="AR108" s="32">
        <v>0.35625000000000001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IF(D108="","*",IFERROR(IF(ISODD(COUNT(AS108:AX110)),"ERRO",SUM((AT108-AS108),(AV108-AU108),(AX108-AW108))),"ERRO"))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VAGÕES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0</v>
      </c>
      <c r="BI108" s="14"/>
      <c r="BJ108" s="14" t="s">
        <v>1488</v>
      </c>
      <c r="BK108" s="14" t="s">
        <v>1489</v>
      </c>
      <c r="BL108" s="13"/>
      <c r="BM108" s="12"/>
      <c r="BN108" s="12"/>
      <c r="BO108" s="130"/>
      <c r="BP108" s="14"/>
      <c r="BQ108" s="10" t="str">
        <f t="shared" si="8"/>
        <v>Produção e Intervalo</v>
      </c>
      <c r="BR108" s="15">
        <f t="shared" si="9"/>
        <v>0</v>
      </c>
      <c r="BS108" s="15">
        <f t="shared" si="10"/>
        <v>0</v>
      </c>
      <c r="BT108" s="157" t="str">
        <f t="shared" si="11"/>
        <v/>
      </c>
    </row>
    <row r="109" spans="1:72">
      <c r="A109" s="44" t="str">
        <f t="shared" si="7"/>
        <v>MARCOS (TF-520)46064</v>
      </c>
      <c r="B109" s="133">
        <v>46064</v>
      </c>
      <c r="C109" s="7">
        <f>IF(BS_CONTROLE[[#This Row],[DATA]]="","",WEEKNUM(BS_CONTROLE[[#This Row],[DATA]]))</f>
        <v>7</v>
      </c>
      <c r="D109" s="45" t="s">
        <v>334</v>
      </c>
      <c r="E109" s="185">
        <v>126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9" s="135" t="s">
        <v>11</v>
      </c>
      <c r="J109" s="151">
        <v>74</v>
      </c>
      <c r="K109" s="151">
        <v>27.555</v>
      </c>
      <c r="L109" s="151">
        <v>26.818999999999999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9" s="135">
        <v>0.375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1325</v>
      </c>
      <c r="W109" s="135" t="s">
        <v>1490</v>
      </c>
      <c r="X109" s="152" t="s">
        <v>1005</v>
      </c>
      <c r="Y109" s="129" t="s">
        <v>1008</v>
      </c>
      <c r="Z109" s="129"/>
      <c r="AA109" s="71"/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TAPK35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TAP-TLG</v>
      </c>
      <c r="AN109" s="175" t="str">
        <f>IF(BS_CONTROLE[[#This Row],[SB]]=0, "-", BS_CONTROLE[[#This Row],[SB]])</f>
        <v>TAPK35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27.555</v>
      </c>
      <c r="AQ109" s="177">
        <f>IF(BS_CONTROLE[[#This Row],[KM - Fim]]=0, "-", BS_CONTROLE[[#This Row],[KM - Fim]])</f>
        <v>26.818999999999999</v>
      </c>
      <c r="AR109" s="32">
        <v>0.35347222222222224</v>
      </c>
      <c r="AS109" s="32">
        <v>0.5229166666666667</v>
      </c>
      <c r="AT109" s="32">
        <v>0.60624999999999996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8.3333333333333259E-2</v>
      </c>
      <c r="AZ109" s="11"/>
      <c r="BA109" s="60"/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Marcos Euzebio</v>
      </c>
      <c r="BG109" s="13"/>
      <c r="BH109" s="14">
        <v>1</v>
      </c>
      <c r="BI109" s="14"/>
      <c r="BJ109" s="14" t="s">
        <v>1491</v>
      </c>
      <c r="BK109" s="14" t="s">
        <v>1492</v>
      </c>
      <c r="BL109" s="13"/>
      <c r="BM109" s="12"/>
      <c r="BN109" s="12"/>
      <c r="BO109" s="130"/>
      <c r="BP109" s="14"/>
      <c r="BQ109" s="10" t="str">
        <f t="shared" si="8"/>
        <v>Produção e Intervalo</v>
      </c>
      <c r="BR109" s="15">
        <f t="shared" si="9"/>
        <v>0.99999999999999911</v>
      </c>
      <c r="BS109" s="15">
        <f t="shared" si="10"/>
        <v>0</v>
      </c>
      <c r="BT109" s="157" t="str">
        <f t="shared" si="11"/>
        <v/>
      </c>
    </row>
    <row r="110" spans="1:72">
      <c r="A110" s="44" t="str">
        <f t="shared" si="7"/>
        <v>ANISIO (TF-514)46064</v>
      </c>
      <c r="B110" s="133">
        <v>46064</v>
      </c>
      <c r="C110" s="7">
        <f>IF(BS_CONTROLE[[#This Row],[DATA]]="","",WEEKNUM(BS_CONTROLE[[#This Row],[DATA]]))</f>
        <v>7</v>
      </c>
      <c r="D110" s="45" t="s">
        <v>273</v>
      </c>
      <c r="E110" s="185">
        <v>127</v>
      </c>
      <c r="F110" s="134" t="s">
        <v>200</v>
      </c>
      <c r="G110" s="8" t="str">
        <f>IF(D110="","*",VLOOKUP(F110,BS_ATIVIDADE[#All],3,FALSE))</f>
        <v>TRILHO - SUBSTITUIÇÂO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312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1440</v>
      </c>
      <c r="W110" s="135" t="s">
        <v>1493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SUBSTITUIÇÃO - TRILHO</v>
      </c>
      <c r="AJ110" s="8" t="str">
        <f>IF(D110="","*",VLOOKUP(AI110,BS_ATIVIDADE[#Data],3,FALSE))</f>
        <v>TRILHO - SUBSTITUIÇÂO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Anisio</v>
      </c>
      <c r="BG110" s="13"/>
      <c r="BH110" s="14">
        <v>1</v>
      </c>
      <c r="BI110" s="14"/>
      <c r="BJ110" s="14" t="s">
        <v>1491</v>
      </c>
      <c r="BK110" s="14" t="s">
        <v>1492</v>
      </c>
      <c r="BL110" s="13"/>
      <c r="BM110" s="12"/>
      <c r="BN110" s="12"/>
      <c r="BO110" s="130"/>
      <c r="BP110" s="14"/>
      <c r="BQ110" s="10" t="str">
        <f t="shared" si="8"/>
        <v>Produção e Intervalo</v>
      </c>
      <c r="BR110" s="15">
        <f t="shared" si="9"/>
        <v>0.99999999999999911</v>
      </c>
      <c r="BS110" s="15">
        <f t="shared" si="10"/>
        <v>0</v>
      </c>
      <c r="BT110" s="157" t="str">
        <f t="shared" si="11"/>
        <v/>
      </c>
    </row>
    <row r="111" spans="1:72">
      <c r="A111" s="44" t="str">
        <f t="shared" si="7"/>
        <v>TURMA FIXA VIA 46064</v>
      </c>
      <c r="B111" s="133">
        <v>46064</v>
      </c>
      <c r="C111" s="7">
        <f>IF(BS_CONTROLE[[#This Row],[DATA]]="","",WEEKNUM(BS_CONTROLE[[#This Row],[DATA]]))</f>
        <v>7</v>
      </c>
      <c r="D111" s="45" t="s">
        <v>265</v>
      </c>
      <c r="E111" s="185">
        <v>128</v>
      </c>
      <c r="F111" s="134" t="s">
        <v>200</v>
      </c>
      <c r="G111" s="8" t="str">
        <f>IF(D111="","*",VLOOKUP(F111,BS_ATIVIDADE[#All],3,FALSE))</f>
        <v>TRILHO - SUBSTITUIÇÂO</v>
      </c>
      <c r="H111" s="135" t="s">
        <v>888</v>
      </c>
      <c r="I111" s="135" t="s">
        <v>11</v>
      </c>
      <c r="J111" s="151">
        <v>101</v>
      </c>
      <c r="K111" s="151">
        <v>1505.85</v>
      </c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1" s="135">
        <v>0.41666666666666669</v>
      </c>
      <c r="P111" s="135">
        <v>8.3333333333333329E-2</v>
      </c>
      <c r="Q111" s="71">
        <v>8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1" s="199" t="str">
        <f>IFERROR(_xlfn.XLOOKUP(J111, BASE_MAPA!$B$2:$B$420, BASE_MAPA!$G$2:$G$420), "ERRO")</f>
        <v>PORTO NACIONAL - OURO VERDE</v>
      </c>
      <c r="V111" s="143" t="s">
        <v>1367</v>
      </c>
      <c r="W111" s="135" t="s">
        <v>1368</v>
      </c>
      <c r="X111" s="152" t="s">
        <v>1005</v>
      </c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POVPJA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PJA-POV</v>
      </c>
      <c r="AN111" s="175" t="str">
        <f>IF(BS_CONTROLE[[#This Row],[SB]]=0, "-", BS_CONTROLE[[#This Row],[SB]])</f>
        <v>POVPJA</v>
      </c>
      <c r="AO111" s="176">
        <f>IF(BS_CONTROLE[[#This Row],[SUB]]=0, "-", BS_CONTROLE[[#This Row],[SUB]])</f>
        <v>101</v>
      </c>
      <c r="AP111" s="177">
        <f>IF(BS_CONTROLE[[#This Row],[KM - Inicio]]=0, "-", BS_CONTROLE[[#This Row],[KM - Inicio]])</f>
        <v>1505.85</v>
      </c>
      <c r="AQ111" s="177" t="str">
        <f>IF(BS_CONTROLE[[#This Row],[KM - Fim]]=0, "-", BS_CONTROLE[[#This Row],[KM - Fim]])</f>
        <v>-</v>
      </c>
      <c r="AR111" s="32">
        <v>0.45833333333333331</v>
      </c>
      <c r="AS111" s="32">
        <v>0.46111111111111114</v>
      </c>
      <c r="AT111" s="32">
        <v>0.5444444444444444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8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1" s="200" t="str">
        <f>IFERROR(_xlfn.XLOOKUP(AO111, BASE_MAPA!$B$2:$B$420, BASE_MAPA!$G$2:$G$420), "ERRO")</f>
        <v>PORTO NACIONAL - OURO VERDE</v>
      </c>
      <c r="BF111" s="178" t="str">
        <f>IF(BS_CONTROLE[[#This Row],[Responsavel pelo boletim]]=0, "-", BS_CONTROLE[[#This Row],[Responsavel pelo boletim]])</f>
        <v>Carlito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/>
      <c r="BN111" s="12"/>
      <c r="BO111" s="130"/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>
      <c r="A114" s="44" t="str">
        <f t="shared" si="12"/>
        <v>V8646065</v>
      </c>
      <c r="B114" s="133">
        <v>46065</v>
      </c>
      <c r="C114" s="7">
        <f>IF(BS_CONTROLE[[#This Row],[DATA]]="","",WEEKNUM(BS_CONTROLE[[#This Row],[DATA]]))</f>
        <v>7</v>
      </c>
      <c r="D114" s="45" t="s">
        <v>217</v>
      </c>
      <c r="E114" s="185">
        <v>131</v>
      </c>
      <c r="F114" s="134" t="s">
        <v>116</v>
      </c>
      <c r="G114" s="8" t="str">
        <f>IF(D114="","*",VLOOKUP(F114,BS_ATIVIDADE[#All],3,FALSE))</f>
        <v>MECANIZAÇÃO - SOCADORA</v>
      </c>
      <c r="H114" s="135" t="s">
        <v>649</v>
      </c>
      <c r="I114" s="135" t="s">
        <v>605</v>
      </c>
      <c r="J114" s="151">
        <v>98</v>
      </c>
      <c r="K114" s="279">
        <v>665.9</v>
      </c>
      <c r="L114" s="71">
        <v>664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4" s="135">
        <v>0.4375</v>
      </c>
      <c r="P114" s="135">
        <v>0.125</v>
      </c>
      <c r="Q114" s="71">
        <v>1680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4" s="199" t="str">
        <f>IFERROR(_xlfn.XLOOKUP(J114, BASE_MAPA!$B$2:$B$420, BASE_MAPA!$G$2:$G$420), "ERRO")</f>
        <v>ALTO ARAGUAIA - RONDONOPOLIS</v>
      </c>
      <c r="V114" s="143" t="s">
        <v>1272</v>
      </c>
      <c r="W114" s="135" t="s">
        <v>1273</v>
      </c>
      <c r="X114" s="152" t="s">
        <v>1005</v>
      </c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MECANIZAÇÃO - SOCADORA</v>
      </c>
      <c r="AJ114" s="8" t="str">
        <f>IF(D114="","*",VLOOKUP(AI114,BS_ATIVIDADE[#Data],3,FALSE))</f>
        <v>MECANIZAÇÃO - SOCADORA</v>
      </c>
      <c r="AK114" s="175" t="str">
        <f>IF(BS_CONTROLE[[#This Row],[Local - Partida]]=0, "-", BS_CONTROLE[[#This Row],[Local - Partida]])</f>
        <v>TSF1</v>
      </c>
      <c r="AL114" s="175" t="str">
        <f>IF(BS_CONTROLE[[#This Row],[Local - Encerramento]]=0, "-", BS_CONTROLE[[#This Row],[Local - Encerramento]])</f>
        <v>TMJ1</v>
      </c>
      <c r="AM114" s="175" t="str">
        <f>IF(BS_CONTROLE[[#This Row],[Entre - Estações]]=0, "-", BS_CONTROLE[[#This Row],[Entre - Estações]])</f>
        <v>TBS-TAL</v>
      </c>
      <c r="AN114" s="175" t="str">
        <f>IF(BS_CONTROLE[[#This Row],[SB]]=0, "-", BS_CONTROLE[[#This Row],[SB]])</f>
        <v>TBS671</v>
      </c>
      <c r="AO114" s="176">
        <f>IF(BS_CONTROLE[[#This Row],[SUB]]=0, "-", BS_CONTROLE[[#This Row],[SUB]])</f>
        <v>98</v>
      </c>
      <c r="AP114" s="177">
        <f>IF(BS_CONTROLE[[#This Row],[KM - Inicio]]=0, "-", BS_CONTROLE[[#This Row],[KM - Inicio]])</f>
        <v>665.9</v>
      </c>
      <c r="AQ114" s="177">
        <f>IF(BS_CONTROLE[[#This Row],[KM - Fim]]=0, "-", BS_CONTROLE[[#This Row],[KM - Fim]])</f>
        <v>664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IF(D114="","*",IFERROR(IF(ISODD(COUNT(AS114:AX116)),"ERRO",SUM((AT114-AS114),(AV114-AU114),(AX114-AW114))),"ERRO"))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4" s="200" t="str">
        <f>IFERROR(_xlfn.XLOOKUP(AO114, BASE_MAPA!$B$2:$B$420, BASE_MAPA!$G$2:$G$420), "ERRO")</f>
        <v>ALTO ARAGUAIA - RONDONOPOLIS</v>
      </c>
      <c r="BF114" s="178" t="str">
        <f>IF(BS_CONTROLE[[#This Row],[Responsavel pelo boletim]]=0, "-", BS_CONTROLE[[#This Row],[Responsavel pelo boletim]])</f>
        <v>Antonioni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Produção e Intervalo</v>
      </c>
      <c r="BR114" s="15">
        <f t="shared" si="14"/>
        <v>0</v>
      </c>
      <c r="BS114" s="15">
        <f t="shared" si="15"/>
        <v>0</v>
      </c>
      <c r="BT114" s="157" t="str">
        <f t="shared" si="16"/>
        <v/>
      </c>
    </row>
    <row r="115" spans="1:72">
      <c r="A115" s="44" t="str">
        <f t="shared" si="12"/>
        <v>W7046065</v>
      </c>
      <c r="B115" s="133">
        <v>46065</v>
      </c>
      <c r="C115" s="7">
        <f>IF(BS_CONTROLE[[#This Row],[DATA]]="","",WEEKNUM(BS_CONTROLE[[#This Row],[DATA]]))</f>
        <v>7</v>
      </c>
      <c r="D115" s="45" t="s">
        <v>249</v>
      </c>
      <c r="E115" s="185">
        <v>132</v>
      </c>
      <c r="F115" s="134" t="s">
        <v>186</v>
      </c>
      <c r="G115" s="8" t="str">
        <f>IF(D115="","*",VLOOKUP(F115,BS_ATIVIDADE[#All],3,FALSE))</f>
        <v>PEDRA</v>
      </c>
      <c r="H115" s="135" t="s">
        <v>617</v>
      </c>
      <c r="I115" s="135" t="s">
        <v>619</v>
      </c>
      <c r="J115" s="151">
        <v>98</v>
      </c>
      <c r="K115" s="151">
        <v>659</v>
      </c>
      <c r="L115" s="71">
        <v>661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5" s="135">
        <v>0.41666666666666669</v>
      </c>
      <c r="P115" s="135">
        <v>8.3333333333333329E-2</v>
      </c>
      <c r="Q115" s="71">
        <v>20</v>
      </c>
      <c r="R115" s="9" t="str">
        <f>IFERROR(_xlfn.XLOOKUP(F115, BS_ATIVIDADE[ATIVIDADE],BS_ATIVIDADE[UNIDADE] ), "*")</f>
        <v>VAGÕES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1303</v>
      </c>
      <c r="W115" s="135" t="s">
        <v>1277</v>
      </c>
      <c r="X115" s="152" t="s">
        <v>1005</v>
      </c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PDM - PEDRA - DESCARGA</v>
      </c>
      <c r="AJ115" s="8" t="str">
        <f>IF(D115="","*",VLOOKUP(AI115,BS_ATIVIDADE[#Data],3,FALSE))</f>
        <v>PEDRA</v>
      </c>
      <c r="AK115" s="175" t="str">
        <f>IF(BS_CONTROLE[[#This Row],[Local - Partida]]=0, "-", BS_CONTROLE[[#This Row],[Local - Partida]])</f>
        <v>TIQ</v>
      </c>
      <c r="AL115" s="175" t="str">
        <f>IF(BS_CONTROLE[[#This Row],[Local - Encerramento]]=0, "-", BS_CONTROLE[[#This Row],[Local - Encerramento]])</f>
        <v>TIQ2</v>
      </c>
      <c r="AM115" s="175" t="str">
        <f>IF(BS_CONTROLE[[#This Row],[Entre - Estações]]=0, "-", BS_CONTROLE[[#This Row],[Entre - Estações]])</f>
        <v>TSA-TBS</v>
      </c>
      <c r="AN115" s="175" t="str">
        <f>IF(BS_CONTROLE[[#This Row],[SB]]=0, "-", BS_CONTROLE[[#This Row],[SB]])</f>
        <v>651TBS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659</v>
      </c>
      <c r="AQ115" s="177">
        <f>IF(BS_CONTROLE[[#This Row],[KM - Fim]]=0, "-", BS_CONTROLE[[#This Row],[KM - Fim]])</f>
        <v>661</v>
      </c>
      <c r="AR115" s="32"/>
      <c r="AS115" s="32"/>
      <c r="AT115" s="32"/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/>
      <c r="BB115" s="9" t="str">
        <f>IFERROR(_xlfn.XLOOKUP(AI115, BS_ATIVIDADE[ATIVIDADE],BS_ATIVIDADE[UNIDADE] ), "*")</f>
        <v>VAGÕES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 xml:space="preserve">Camila 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/>
      </c>
    </row>
    <row r="116" spans="1:72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>
      <c r="A117" s="44" t="str">
        <f t="shared" si="12"/>
        <v>FERNANDO (TF-19)46065</v>
      </c>
      <c r="B117" s="133">
        <v>46065</v>
      </c>
      <c r="C117" s="7">
        <f>IF(BS_CONTROLE[[#This Row],[DATA]]="","",WEEKNUM(BS_CONTROLE[[#This Row],[DATA]]))</f>
        <v>7</v>
      </c>
      <c r="D117" s="45" t="s">
        <v>361</v>
      </c>
      <c r="E117" s="185">
        <v>134</v>
      </c>
      <c r="F117" s="134" t="s">
        <v>200</v>
      </c>
      <c r="G117" s="8" t="str">
        <f>IF(D117="","*",VLOOKUP(F117,BS_ATIVIDADE[#All],3,FALSE))</f>
        <v>TRILHO - SUBSTITUIÇÂO</v>
      </c>
      <c r="H117" s="135" t="s">
        <v>638</v>
      </c>
      <c r="I117" s="135" t="s">
        <v>11</v>
      </c>
      <c r="J117" s="151">
        <v>98</v>
      </c>
      <c r="K117" s="151">
        <v>662.65</v>
      </c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7" s="135">
        <v>0.41666666666666669</v>
      </c>
      <c r="P117" s="135">
        <v>4.1666666666666664E-2</v>
      </c>
      <c r="Q117" s="278">
        <v>10</v>
      </c>
      <c r="R117" s="9" t="str">
        <f>IFERROR(_xlfn.XLOOKUP(F117, BS_ATIVIDADE[ATIVIDADE],BS_ATIVIDADE[UNIDADE] ), "*")</f>
        <v>M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7" s="199" t="str">
        <f>IFERROR(_xlfn.XLOOKUP(J117, BASE_MAPA!$B$2:$B$420, BASE_MAPA!$G$2:$G$420), "ERRO")</f>
        <v>ALTO ARAGUAIA - RONDONOPOLIS</v>
      </c>
      <c r="V117" s="143" t="s">
        <v>1303</v>
      </c>
      <c r="W117" s="135" t="s">
        <v>1299</v>
      </c>
      <c r="X117" s="152" t="s">
        <v>1005</v>
      </c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PDM - SUBSTITUIÇÃO - TRILHO</v>
      </c>
      <c r="AJ117" s="8" t="str">
        <f>IF(D117="","*",VLOOKUP(AI117,BS_ATIVIDADE[#Data],3,FALSE))</f>
        <v>TRILHO - SUBSTITUIÇÂO</v>
      </c>
      <c r="AK117" s="175" t="str">
        <f>IF(BS_CONTROLE[[#This Row],[Local - Partida]]=0, "-", BS_CONTROLE[[#This Row],[Local - Partida]])</f>
        <v>TBS671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TBS-TAL</v>
      </c>
      <c r="AN117" s="175" t="str">
        <f>IF(BS_CONTROLE[[#This Row],[SB]]=0, "-", BS_CONTROLE[[#This Row],[SB]])</f>
        <v>TBS671</v>
      </c>
      <c r="AO117" s="176">
        <f>IF(BS_CONTROLE[[#This Row],[SUB]]=0, "-", BS_CONTROLE[[#This Row],[SUB]])</f>
        <v>98</v>
      </c>
      <c r="AP117" s="177">
        <f>IF(BS_CONTROLE[[#This Row],[KM - Inicio]]=0, "-", BS_CONTROLE[[#This Row],[KM - Inicio]])</f>
        <v>662.65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>
        <f>IF(D117="","*",IFERROR(IF(ISODD(COUNT(AS117:AX119)),"ERRO",SUM((AT117-AS117),(AV117-AU117),(AX117-AW117))),"ERRO"))</f>
        <v>0</v>
      </c>
      <c r="AZ117" s="11"/>
      <c r="BA117" s="60"/>
      <c r="BB117" s="9" t="str">
        <f>IFERROR(_xlfn.XLOOKUP(AI117, BS_ATIVIDADE[ATIVIDADE],BS_ATIVIDADE[UNIDADE] ), "*")</f>
        <v>M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7" s="200" t="str">
        <f>IFERROR(_xlfn.XLOOKUP(AO117, BASE_MAPA!$B$2:$B$420, BASE_MAPA!$G$2:$G$420), "ERRO")</f>
        <v>ALTO ARAGUAIA - RONDONOPOLIS</v>
      </c>
      <c r="BF117" s="178" t="str">
        <f>IF(BS_CONTROLE[[#This Row],[Responsavel pelo boletim]]=0, "-", BS_CONTROLE[[#This Row],[Responsavel pelo boletim]])</f>
        <v xml:space="preserve">Camila 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Produção e Intervalo</v>
      </c>
      <c r="BR117" s="15">
        <f t="shared" si="14"/>
        <v>0</v>
      </c>
      <c r="BS117" s="15">
        <f t="shared" si="15"/>
        <v>0</v>
      </c>
      <c r="BT117" s="157" t="str">
        <f t="shared" si="16"/>
        <v/>
      </c>
    </row>
    <row r="118" spans="1:72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>
      <c r="A119" s="44" t="str">
        <f t="shared" si="12"/>
        <v>BRUNO (TF-525)46065</v>
      </c>
      <c r="B119" s="133">
        <v>46065</v>
      </c>
      <c r="C119" s="7">
        <f>IF(BS_CONTROLE[[#This Row],[DATA]]="","",WEEKNUM(BS_CONTROLE[[#This Row],[DATA]]))</f>
        <v>7</v>
      </c>
      <c r="D119" s="45" t="s">
        <v>278</v>
      </c>
      <c r="E119" s="185">
        <v>136</v>
      </c>
      <c r="F119" s="134" t="s">
        <v>193</v>
      </c>
      <c r="G119" s="8" t="str">
        <f>IF(D119="","*",VLOOKUP(F119,BS_ATIVIDADE[#All],3,FALSE))</f>
        <v>SOLDA</v>
      </c>
      <c r="H119" s="135" t="s">
        <v>600</v>
      </c>
      <c r="I119" s="135" t="s">
        <v>11</v>
      </c>
      <c r="J119" s="151">
        <v>98</v>
      </c>
      <c r="K119" s="151">
        <v>565.44100000000003</v>
      </c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19" s="135">
        <v>0.41666666666666669</v>
      </c>
      <c r="P119" s="135">
        <v>6.25E-2</v>
      </c>
      <c r="Q119" s="71">
        <v>1</v>
      </c>
      <c r="R119" s="9" t="str">
        <f>IFERROR(_xlfn.XLOOKUP(F119, BS_ATIVIDADE[ATIVIDADE],BS_ATIVIDADE[UNIDADE] ), "*")</f>
        <v>Nº DE SOLDA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9" s="199" t="str">
        <f>IFERROR(_xlfn.XLOOKUP(J119, BASE_MAPA!$B$2:$B$420, BASE_MAPA!$G$2:$G$420), "ERRO")</f>
        <v>ALTO ARAGUAIA - RONDONOPOLIS</v>
      </c>
      <c r="V119" s="143" t="s">
        <v>1303</v>
      </c>
      <c r="W119" s="135" t="s">
        <v>1285</v>
      </c>
      <c r="X119" s="152" t="s">
        <v>1005</v>
      </c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PDM - SOLDA</v>
      </c>
      <c r="AJ119" s="8" t="str">
        <f>IF(D119="","*",VLOOKUP(AI119,BS_ATIVIDADE[#Data],3,FALSE))</f>
        <v>SOLDA</v>
      </c>
      <c r="AK119" s="175" t="str">
        <f>IF(BS_CONTROLE[[#This Row],[Local - Partida]]=0, "-", BS_CONTROLE[[#This Row],[Local - Partida]])</f>
        <v>TEPPAT1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TEP-TMJ</v>
      </c>
      <c r="AN119" s="175" t="str">
        <f>IF(BS_CONTROLE[[#This Row],[SB]]=0, "-", BS_CONTROLE[[#This Row],[SB]])</f>
        <v>TEPPAT1</v>
      </c>
      <c r="AO119" s="176">
        <f>IF(BS_CONTROLE[[#This Row],[SUB]]=0, "-", BS_CONTROLE[[#This Row],[SUB]])</f>
        <v>98</v>
      </c>
      <c r="AP119" s="177">
        <f>IF(BS_CONTROLE[[#This Row],[KM - Inicio]]=0, "-", BS_CONTROLE[[#This Row],[KM - Inicio]])</f>
        <v>565.44100000000003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>
        <f>IF(D119="","*",IFERROR(IF(ISODD(COUNT(AS119:AX121)),"ERRO",SUM((AT119-AS119),(AV119-AU119),(AX119-AW119))),"ERRO"))</f>
        <v>0</v>
      </c>
      <c r="AZ119" s="11"/>
      <c r="BA119" s="60"/>
      <c r="BB119" s="9" t="str">
        <f>IFERROR(_xlfn.XLOOKUP(AI119, BS_ATIVIDADE[ATIVIDADE],BS_ATIVIDADE[UNIDADE] ), "*")</f>
        <v>Nº DE SOLDA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9" s="200" t="str">
        <f>IFERROR(_xlfn.XLOOKUP(AO119, BASE_MAPA!$B$2:$B$420, BASE_MAPA!$G$2:$G$420), "ERRO")</f>
        <v>ALTO ARAGUAIA - RONDONOPOLIS</v>
      </c>
      <c r="BF119" s="178" t="str">
        <f>IF(BS_CONTROLE[[#This Row],[Responsavel pelo boletim]]=0, "-", BS_CONTROLE[[#This Row],[Responsavel pelo boletim]])</f>
        <v xml:space="preserve">Camila 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Produção e Intervalo</v>
      </c>
      <c r="BR119" s="15">
        <f t="shared" si="14"/>
        <v>0</v>
      </c>
      <c r="BS119" s="15">
        <f t="shared" si="15"/>
        <v>0</v>
      </c>
      <c r="BT119" s="157" t="str">
        <f t="shared" si="16"/>
        <v/>
      </c>
    </row>
    <row r="120" spans="1:72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>
      <c r="A121" s="44" t="str">
        <f t="shared" si="12"/>
        <v>W5046065</v>
      </c>
      <c r="B121" s="133">
        <v>46065</v>
      </c>
      <c r="C121" s="7">
        <f>IF(BS_CONTROLE[[#This Row],[DATA]]="","",WEEKNUM(BS_CONTROLE[[#This Row],[DATA]]))</f>
        <v>7</v>
      </c>
      <c r="D121" s="45" t="s">
        <v>240</v>
      </c>
      <c r="E121" s="185">
        <v>138</v>
      </c>
      <c r="F121" s="134" t="s">
        <v>140</v>
      </c>
      <c r="G121" s="8" t="s">
        <v>120</v>
      </c>
      <c r="H121" s="135" t="s">
        <v>1487</v>
      </c>
      <c r="I121" s="135" t="s">
        <v>1487</v>
      </c>
      <c r="J121" s="151">
        <v>74</v>
      </c>
      <c r="K121" s="151">
        <v>250</v>
      </c>
      <c r="L121" s="71">
        <v>239</v>
      </c>
      <c r="M121" s="149" t="s">
        <v>460</v>
      </c>
      <c r="N121" s="149">
        <v>239251</v>
      </c>
      <c r="O121" s="135">
        <v>0.375</v>
      </c>
      <c r="P121" s="135">
        <v>8.3333333333333329E-2</v>
      </c>
      <c r="Q121" s="71">
        <v>15</v>
      </c>
      <c r="R121" s="9" t="s">
        <v>62</v>
      </c>
      <c r="S121" s="180" t="s">
        <v>370</v>
      </c>
      <c r="T121" s="180" t="s">
        <v>374</v>
      </c>
      <c r="U121" s="199" t="s">
        <v>373</v>
      </c>
      <c r="V121" s="143" t="s">
        <v>1358</v>
      </c>
      <c r="W121" s="135" t="s">
        <v>1304</v>
      </c>
      <c r="X121" s="152" t="s">
        <v>1005</v>
      </c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MODERNIZAÇÃO - PEDRA - DESCARGA</v>
      </c>
      <c r="AJ121" s="8" t="str">
        <f>IF(D121="","*",VLOOKUP(AI121,BS_ATIVIDADE[#Data],3,FALSE))</f>
        <v>MODERNIZAÇÃO</v>
      </c>
      <c r="AK121" s="175" t="str">
        <f>IF(BS_CONTROLE[[#This Row],[Local - Partida]]=0, "-", BS_CONTROLE[[#This Row],[Local - Partida]])</f>
        <v xml:space="preserve">TCS2 </v>
      </c>
      <c r="AL121" s="175" t="str">
        <f>IF(BS_CONTROLE[[#This Row],[Local - Encerramento]]=0, "-", BS_CONTROLE[[#This Row],[Local - Encerramento]])</f>
        <v xml:space="preserve">TCS2 </v>
      </c>
      <c r="AM121" s="175" t="str">
        <f>IF(BS_CONTROLE[[#This Row],[Entre - Estações]]=0, "-", BS_CONTROLE[[#This Row],[Entre - Estações]])</f>
        <v>TVI-TJA</v>
      </c>
      <c r="AN121" s="175">
        <f>IF(BS_CONTROLE[[#This Row],[SB]]=0, "-", BS_CONTROLE[[#This Row],[SB]])</f>
        <v>239251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250</v>
      </c>
      <c r="AQ121" s="177">
        <f>IF(BS_CONTROLE[[#This Row],[KM - Fim]]=0, "-", BS_CONTROLE[[#This Row],[KM - Fim]])</f>
        <v>239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IF(D121="","*",IFERROR(IF(ISODD(COUNT(AS121:AX123)),"ERRO",SUM((AT121-AS121),(AV121-AU121),(AX121-AW121))),"ERRO"))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VAGÕES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BASE_MAPA!$B$2:$B$420, BASE_MAPA!$G$2:$G$420),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Produção e Intervalo</v>
      </c>
      <c r="BR121" s="15">
        <f t="shared" si="14"/>
        <v>0</v>
      </c>
      <c r="BS121" s="15">
        <f t="shared" si="15"/>
        <v>0</v>
      </c>
      <c r="BT121" s="157" t="str">
        <f t="shared" si="16"/>
        <v/>
      </c>
    </row>
    <row r="122" spans="1:72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>
      <c r="A123" s="44" t="str">
        <f t="shared" si="12"/>
        <v>V6646065</v>
      </c>
      <c r="B123" s="133">
        <v>46065</v>
      </c>
      <c r="C123" s="7">
        <f>IF(BS_CONTROLE[[#This Row],[DATA]]="","",WEEKNUM(BS_CONTROLE[[#This Row],[DATA]]))</f>
        <v>7</v>
      </c>
      <c r="D123" s="45" t="s">
        <v>192</v>
      </c>
      <c r="E123" s="185">
        <v>140</v>
      </c>
      <c r="F123" s="134" t="s">
        <v>235</v>
      </c>
      <c r="G123" s="8" t="str">
        <f>IF(D123="","*",VLOOKUP(F123,BS_ATIVIDADE[#All],3,FALSE))</f>
        <v>MODERNIZAÇÃO</v>
      </c>
      <c r="H123" s="135" t="s">
        <v>451</v>
      </c>
      <c r="I123" s="135" t="s">
        <v>451</v>
      </c>
      <c r="J123" s="151">
        <v>74</v>
      </c>
      <c r="K123" s="151">
        <v>173</v>
      </c>
      <c r="L123" s="71">
        <v>174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5">
        <v>0.375</v>
      </c>
      <c r="P123" s="135">
        <v>8.3333333333333329E-2</v>
      </c>
      <c r="Q123" s="71">
        <v>500</v>
      </c>
      <c r="R123" s="9" t="str">
        <f>IFERROR(_xlfn.XLOOKUP(F123, BS_ATIVIDADE[ATIVIDADE],BS_ATIVIDADE[UNIDADE] ), "*")</f>
        <v>M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9" t="str">
        <f>IFERROR(_xlfn.XLOOKUP(J123, BASE_MAPA!$B$2:$B$420, BASE_MAPA!$G$2:$G$420), "ERRO")</f>
        <v>MARCO INICIAL - ALTO ARAGUAIA</v>
      </c>
      <c r="V123" s="143" t="s">
        <v>1358</v>
      </c>
      <c r="W123" s="135" t="s">
        <v>1420</v>
      </c>
      <c r="X123" s="152" t="s">
        <v>1005</v>
      </c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5" t="str">
        <f>IF(BS_CONTROLE[[#This Row],[Local - Partida]]=0, "-", BS_CONTROLE[[#This Row],[Local - Partida]])</f>
        <v>TID2</v>
      </c>
      <c r="AL123" s="175" t="str">
        <f>IF(BS_CONTROLE[[#This Row],[Local - Encerramento]]=0, "-", BS_CONTROLE[[#This Row],[Local - Encerramento]])</f>
        <v>TID2</v>
      </c>
      <c r="AM123" s="175" t="str">
        <f>IF(BS_CONTROLE[[#This Row],[Entre - Estações]]=0, "-", BS_CONTROLE[[#This Row],[Entre - Estações]])</f>
        <v>TCE-TID</v>
      </c>
      <c r="AN123" s="175" t="str">
        <f>IF(BS_CONTROLE[[#This Row],[SB]]=0, "-", BS_CONTROLE[[#This Row],[SB]])</f>
        <v>TCE177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173</v>
      </c>
      <c r="AQ123" s="177">
        <f>IF(BS_CONTROLE[[#This Row],[KM - Fim]]=0, "-", BS_CONTROLE[[#This Row],[KM - Fim]])</f>
        <v>174</v>
      </c>
      <c r="AR123" s="32"/>
      <c r="AS123" s="32"/>
      <c r="AT123" s="32"/>
      <c r="AU123" s="32"/>
      <c r="AV123" s="32"/>
      <c r="AW123" s="32"/>
      <c r="AX123" s="32"/>
      <c r="AY123" s="184">
        <f>IF(D123="","*",IFERROR(IF(ISODD(COUNT(AS123:AX125)),"ERRO",SUM((AT123-AS123),(AV123-AU123),(AX123-AW123))),"ERRO"))</f>
        <v>0</v>
      </c>
      <c r="AZ123" s="11"/>
      <c r="BA123" s="60"/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200" t="str">
        <f>IFERROR(_xlfn.XLOOKUP(AO123, BASE_MAPA!$B$2:$B$420, BASE_MAPA!$G$2:$G$420), "ERRO")</f>
        <v>MARCO INICIAL - ALTO ARAGUAIA</v>
      </c>
      <c r="BF123" s="178" t="str">
        <f>IF(BS_CONTROLE[[#This Row],[Responsavel pelo boletim]]=0, "-", BS_CONTROLE[[#This Row],[Responsavel pelo boletim]])</f>
        <v>Augusto/ Efraim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Produção e Intervalo</v>
      </c>
      <c r="BR123" s="15">
        <f t="shared" si="14"/>
        <v>0</v>
      </c>
      <c r="BS123" s="15">
        <f t="shared" si="15"/>
        <v>0</v>
      </c>
      <c r="BT123" s="157" t="str">
        <f t="shared" si="16"/>
        <v/>
      </c>
    </row>
    <row r="124" spans="1:72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>
      <c r="A125" s="44" t="str">
        <f t="shared" si="12"/>
        <v>MARCOS (TF-520)46065</v>
      </c>
      <c r="B125" s="133">
        <v>46065</v>
      </c>
      <c r="C125" s="7">
        <f>IF(BS_CONTROLE[[#This Row],[DATA]]="","",WEEKNUM(BS_CONTROLE[[#This Row],[DATA]]))</f>
        <v>7</v>
      </c>
      <c r="D125" s="45" t="s">
        <v>334</v>
      </c>
      <c r="E125" s="185">
        <v>142</v>
      </c>
      <c r="F125" s="134" t="s">
        <v>193</v>
      </c>
      <c r="G125" s="8" t="str">
        <f>IF(D125="","*",VLOOKUP(F125,BS_ATIVIDADE[#All],3,FALSE))</f>
        <v>SOLDA</v>
      </c>
      <c r="H125" s="135" t="s">
        <v>434</v>
      </c>
      <c r="I125" s="135" t="s">
        <v>11</v>
      </c>
      <c r="J125" s="151">
        <v>74</v>
      </c>
      <c r="K125" s="151">
        <v>143.35</v>
      </c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5" s="135">
        <v>0.375</v>
      </c>
      <c r="P125" s="135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1325</v>
      </c>
      <c r="W125" s="135" t="s">
        <v>1285</v>
      </c>
      <c r="X125" s="152" t="s">
        <v>1005</v>
      </c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5" t="str">
        <f>IF(BS_CONTROLE[[#This Row],[Local - Partida]]=0, "-", BS_CONTROLE[[#This Row],[Local - Partida]])</f>
        <v>TMO1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TMO</v>
      </c>
      <c r="AN125" s="175" t="str">
        <f>IF(BS_CONTROLE[[#This Row],[SB]]=0, "-", BS_CONTROLE[[#This Row],[SB]])</f>
        <v>TMO1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143.35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Marcos Euzebio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Produção e Intervalo</v>
      </c>
      <c r="BR125" s="15">
        <f t="shared" si="14"/>
        <v>0</v>
      </c>
      <c r="BS125" s="15">
        <f t="shared" si="15"/>
        <v>0</v>
      </c>
      <c r="BT125" s="157" t="str">
        <f t="shared" si="16"/>
        <v/>
      </c>
    </row>
    <row r="126" spans="1:72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>
      <c r="A127" s="44" t="str">
        <f t="shared" si="12"/>
        <v>ANISIO (TF-514)46065</v>
      </c>
      <c r="B127" s="133">
        <v>46065</v>
      </c>
      <c r="C127" s="7">
        <f>IF(BS_CONTROLE[[#This Row],[DATA]]="","",WEEKNUM(BS_CONTROLE[[#This Row],[DATA]]))</f>
        <v>7</v>
      </c>
      <c r="D127" s="45" t="s">
        <v>273</v>
      </c>
      <c r="E127" s="185">
        <v>144</v>
      </c>
      <c r="F127" s="134" t="s">
        <v>200</v>
      </c>
      <c r="G127" s="8" t="str">
        <f>IF(D127="","*",VLOOKUP(F127,BS_ATIVIDADE[#All],3,FALSE))</f>
        <v>TRILHO - SUBSTITUIÇÂO</v>
      </c>
      <c r="H127" s="135" t="s">
        <v>391</v>
      </c>
      <c r="I127" s="135" t="s">
        <v>11</v>
      </c>
      <c r="J127" s="151">
        <v>74</v>
      </c>
      <c r="K127" s="151">
        <v>26.818999999999999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7" s="135">
        <v>0.375</v>
      </c>
      <c r="P127" s="135">
        <v>8.3333333333333329E-2</v>
      </c>
      <c r="Q127" s="71">
        <v>312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BASE_MAPA!$B$2:$B$420, BASE_MAPA!$G$2:$G$420), "ERRO")</f>
        <v>MARCO INICIAL - ALTO ARAGUAIA</v>
      </c>
      <c r="V127" s="143" t="s">
        <v>1496</v>
      </c>
      <c r="W127" s="135" t="s">
        <v>1285</v>
      </c>
      <c r="X127" s="152" t="s">
        <v>1005</v>
      </c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SUBSTITUIÇÃO - TRILHO</v>
      </c>
      <c r="AJ127" s="8" t="str">
        <f>IF(D127="","*",VLOOKUP(AI127,BS_ATIVIDADE[#Data],3,FALSE))</f>
        <v>TRILHO - SUBSTITUIÇÂO</v>
      </c>
      <c r="AK127" s="175" t="str">
        <f>IF(BS_CONTROLE[[#This Row],[Local - Partida]]=0, "-", BS_CONTROLE[[#This Row],[Local - Partida]])</f>
        <v>TAPK35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TAP-TLG</v>
      </c>
      <c r="AN127" s="175" t="str">
        <f>IF(BS_CONTROLE[[#This Row],[SB]]=0, "-", BS_CONTROLE[[#This Row],[SB]])</f>
        <v>TAPK35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26.818999999999999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IF(D127="","*",IFERROR(IF(ISODD(COUNT(AS127:AX129)),"ERRO",SUM((AT127-AS127),(AV127-AU127),(AX127-AW127))),"ERRO"))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BASE_MAPA!$B$2:$B$420, BASE_MAPA!$G$2:$G$420), "ERRO")</f>
        <v>MARCO INICIAL - ALTO ARAGUAIA</v>
      </c>
      <c r="BF127" s="178" t="str">
        <f>IF(BS_CONTROLE[[#This Row],[Responsavel pelo boletim]]=0, "-", BS_CONTROLE[[#This Row],[Responsavel pelo boletim]])</f>
        <v>Anísio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Produção e Intervalo</v>
      </c>
      <c r="BR127" s="15">
        <f t="shared" si="14"/>
        <v>0</v>
      </c>
      <c r="BS127" s="15">
        <f t="shared" si="15"/>
        <v>0</v>
      </c>
      <c r="BT127" s="157" t="str">
        <f t="shared" si="16"/>
        <v/>
      </c>
    </row>
    <row r="128" spans="1:72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>
      <c r="A129" s="44" t="str">
        <f t="shared" si="12"/>
        <v>A8846065</v>
      </c>
      <c r="B129" s="133">
        <v>46065</v>
      </c>
      <c r="C129" s="7">
        <f>IF(BS_CONTROLE[[#This Row],[DATA]]="","",WEEKNUM(BS_CONTROLE[[#This Row],[DATA]]))</f>
        <v>7</v>
      </c>
      <c r="D129" s="45" t="s">
        <v>143</v>
      </c>
      <c r="E129" s="185">
        <v>146</v>
      </c>
      <c r="F129" s="134" t="s">
        <v>84</v>
      </c>
      <c r="G129" s="8" t="str">
        <f>IF(D129="","*",VLOOKUP(F129,BS_ATIVIDADE[#All],3,FALSE))</f>
        <v>OUTROS</v>
      </c>
      <c r="H129" s="135" t="s">
        <v>791</v>
      </c>
      <c r="I129" s="135" t="s">
        <v>760</v>
      </c>
      <c r="J129" s="151">
        <v>78</v>
      </c>
      <c r="K129" s="151">
        <v>334</v>
      </c>
      <c r="L129" s="71">
        <v>275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9" s="135">
        <v>0.33333333333333331</v>
      </c>
      <c r="P129" s="135">
        <v>4.1666666666666664E-2</v>
      </c>
      <c r="Q129" s="71">
        <v>1</v>
      </c>
      <c r="R129" s="9" t="str">
        <f>IFERROR(_xlfn.XLOOKUP(F129, BS_ATIVIDADE[ATIVIDADE],BS_ATIVIDADE[UNIDADE] ), "*")</f>
        <v>BINÁRIO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BASE_MAPA!$B$2:$B$420, BASE_MAPA!$G$2:$G$420), "ERRO")</f>
        <v>ITIRAPINA - BAURU</v>
      </c>
      <c r="V129" s="143" t="s">
        <v>1390</v>
      </c>
      <c r="W129" s="135" t="s">
        <v>1497</v>
      </c>
      <c r="X129" s="152" t="s">
        <v>1005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INSPEÇÃO AUTO DE LINHA</v>
      </c>
      <c r="AJ129" s="8" t="str">
        <f>IF(D129="","*",VLOOKUP(AI129,BS_ATIVIDADE[#Data],3,FALSE))</f>
        <v>OUTROS</v>
      </c>
      <c r="AK129" s="175" t="str">
        <f>IF(BS_CONTROLE[[#This Row],[Local - Partida]]=0, "-", BS_CONTROLE[[#This Row],[Local - Partida]])</f>
        <v>ZTP</v>
      </c>
      <c r="AL129" s="175" t="str">
        <f>IF(BS_CONTROLE[[#This Row],[Local - Encerramento]]=0, "-", BS_CONTROLE[[#This Row],[Local - Encerramento]])</f>
        <v>ZJU</v>
      </c>
      <c r="AM129" s="175" t="str">
        <f>IF(BS_CONTROLE[[#This Row],[Entre - Estações]]=0, "-", BS_CONTROLE[[#This Row],[Entre - Estações]])</f>
        <v>ZAY-ZTP</v>
      </c>
      <c r="AN129" s="175" t="str">
        <f>IF(BS_CONTROLE[[#This Row],[SB]]=0, "-", BS_CONTROLE[[#This Row],[SB]])</f>
        <v>ZAYZTP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334</v>
      </c>
      <c r="AQ129" s="177">
        <f>IF(BS_CONTROLE[[#This Row],[KM - Fim]]=0, "-", BS_CONTROLE[[#This Row],[KM - Fim]])</f>
        <v>275</v>
      </c>
      <c r="AR129" s="32"/>
      <c r="AS129" s="32"/>
      <c r="AT129" s="32"/>
      <c r="AU129" s="32"/>
      <c r="AV129" s="32"/>
      <c r="AW129" s="32"/>
      <c r="AX129" s="32"/>
      <c r="AY129" s="184">
        <f>IF(D129="","*",IFERROR(IF(ISODD(COUNT(AS129:AX131)),"ERRO",SUM((AT129-AS129),(AV129-AU129),(AX129-AW129))),"ERRO"))</f>
        <v>0</v>
      </c>
      <c r="AZ129" s="11"/>
      <c r="BA129" s="60"/>
      <c r="BB129" s="9" t="str">
        <f>IFERROR(_xlfn.XLOOKUP(AI129, BS_ATIVIDADE[ATIVIDADE],BS_ATIVIDADE[UNIDADE] ), "*")</f>
        <v>BINÁRIO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BASE_MAPA!$B$2:$B$420, BASE_MAPA!$G$2:$G$420), "ERRO")</f>
        <v>ITIRAPINA - BAURU</v>
      </c>
      <c r="BF129" s="178" t="str">
        <f>IF(BS_CONTROLE[[#This Row],[Responsavel pelo boletim]]=0, "-", BS_CONTROLE[[#This Row],[Responsavel pelo boletim]])</f>
        <v>Wesley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Produção e Intervalo</v>
      </c>
      <c r="BR129" s="15">
        <f t="shared" si="14"/>
        <v>0</v>
      </c>
      <c r="BS129" s="15">
        <f t="shared" si="15"/>
        <v>0</v>
      </c>
      <c r="BT129" s="157" t="str">
        <f t="shared" si="16"/>
        <v/>
      </c>
    </row>
    <row r="130" spans="1:72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97" operator="equal">
      <formula>"ERRO"</formula>
    </cfRule>
  </conditionalFormatting>
  <conditionalFormatting sqref="X4 Y1:Z5 Y8:Z778">
    <cfRule type="cellIs" dxfId="123" priority="18486" operator="equal">
      <formula>"OPORTUNIDADE"</formula>
    </cfRule>
  </conditionalFormatting>
  <conditionalFormatting sqref="AZ6:AZ778">
    <cfRule type="expression" dxfId="122" priority="18481">
      <formula>$BU6=1</formula>
    </cfRule>
  </conditionalFormatting>
  <conditionalFormatting sqref="BQ6:BQ778">
    <cfRule type="cellIs" dxfId="121" priority="18492" operator="equal">
      <formula>"Produção e Intervalo"</formula>
    </cfRule>
    <cfRule type="cellIs" dxfId="120" priority="18493" operator="equal">
      <formula>"Aderente"</formula>
    </cfRule>
    <cfRule type="cellIs" dxfId="119" priority="18494" operator="equal">
      <formula>"Intervalo"</formula>
    </cfRule>
    <cfRule type="cellIs" dxfId="118" priority="18495" operator="equal">
      <formula>"Produção"</formula>
    </cfRule>
    <cfRule type="cellIs" dxfId="117" priority="18496" operator="equal">
      <formula>"ERRO"</formula>
    </cfRule>
  </conditionalFormatting>
  <conditionalFormatting sqref="BR6:BS778">
    <cfRule type="cellIs" dxfId="116" priority="18474" operator="equal">
      <formula>"*"</formula>
    </cfRule>
    <cfRule type="cellIs" dxfId="115" priority="18475" operator="greaterThanOrEqual">
      <formula>1</formula>
    </cfRule>
    <cfRule type="cellIs" dxfId="114" priority="18476" operator="lessThan">
      <formula>1</formula>
    </cfRule>
  </conditionalFormatting>
  <conditionalFormatting sqref="Y8:Z778">
    <cfRule type="cellIs" dxfId="113" priority="18422" operator="equal">
      <formula>"NÃO"</formula>
    </cfRule>
    <cfRule type="cellIs" dxfId="112" priority="18423" operator="equal">
      <formula>"SIM"</formula>
    </cfRule>
  </conditionalFormatting>
  <conditionalFormatting sqref="Y1047841:Y1048576">
    <cfRule type="cellIs" dxfId="111" priority="18303" operator="equal">
      <formula>"OPORTUNIDADE"</formula>
    </cfRule>
  </conditionalFormatting>
  <conditionalFormatting sqref="Y1047841:Y1048576">
    <cfRule type="cellIs" dxfId="110" priority="18301" operator="equal">
      <formula>"NÃO"</formula>
    </cfRule>
    <cfRule type="cellIs" dxfId="109" priority="18302" operator="equal">
      <formula>"SIM"</formula>
    </cfRule>
  </conditionalFormatting>
  <conditionalFormatting sqref="Y6:Y7">
    <cfRule type="cellIs" dxfId="108" priority="23" operator="equal">
      <formula>"OPORTUNIDADE"</formula>
    </cfRule>
  </conditionalFormatting>
  <conditionalFormatting sqref="Y6:Y7">
    <cfRule type="cellIs" dxfId="107" priority="21" operator="equal">
      <formula>"NÃO"</formula>
    </cfRule>
    <cfRule type="cellIs" dxfId="106" priority="22" operator="equal">
      <formula>"SIM"</formula>
    </cfRule>
  </conditionalFormatting>
  <conditionalFormatting sqref="BK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J6:BJ778 BK101 BK111">
    <cfRule type="iconSet" priority="22724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2:BK778 BK102:BK110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817">
      <iconSet showValue="0">
        <cfvo type="percent" val="0"/>
        <cfvo type="num" val="1"/>
        <cfvo type="num" val="1" gte="0"/>
      </iconSet>
    </cfRule>
  </conditionalFormatting>
  <conditionalFormatting sqref="BH6:BH80 BH82:BH778">
    <cfRule type="iconSet" priority="22819">
      <iconSet showValue="0">
        <cfvo type="percent" val="0"/>
        <cfvo type="num" val="1"/>
        <cfvo type="num" val="1" gte="0"/>
      </iconSet>
    </cfRule>
    <cfRule type="iconSet" priority="22820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823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8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1498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86" t="s">
        <v>104</v>
      </c>
      <c r="D3" s="186" t="s">
        <v>1499</v>
      </c>
      <c r="E3" s="186" t="s">
        <v>1500</v>
      </c>
      <c r="F3" s="186" t="s">
        <v>1501</v>
      </c>
      <c r="G3" s="186" t="s">
        <v>1502</v>
      </c>
      <c r="H3" s="186" t="s">
        <v>1503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1504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1505</v>
      </c>
      <c r="D12" s="187">
        <v>9049</v>
      </c>
      <c r="E12" s="188">
        <v>46044</v>
      </c>
      <c r="F12" s="190" t="s">
        <v>1506</v>
      </c>
      <c r="G12" s="187" t="s">
        <v>1507</v>
      </c>
      <c r="H12" s="187"/>
    </row>
    <row r="13" spans="3:8">
      <c r="C13" s="187" t="s">
        <v>1505</v>
      </c>
      <c r="D13" s="187">
        <v>9044</v>
      </c>
      <c r="E13" s="188">
        <v>46044</v>
      </c>
      <c r="F13" s="190" t="s">
        <v>1508</v>
      </c>
      <c r="G13" s="187" t="s">
        <v>1509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1510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1510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1511</v>
      </c>
      <c r="C2" s="83" t="s">
        <v>1196</v>
      </c>
      <c r="D2" s="83" t="s">
        <v>1198</v>
      </c>
      <c r="E2" s="83" t="s">
        <v>1512</v>
      </c>
      <c r="F2" s="83" t="s">
        <v>1513</v>
      </c>
      <c r="G2" s="83" t="s">
        <v>1514</v>
      </c>
      <c r="H2" s="83" t="s">
        <v>1515</v>
      </c>
      <c r="I2" s="83" t="s">
        <v>1516</v>
      </c>
      <c r="J2" s="83" t="s">
        <v>1517</v>
      </c>
      <c r="K2" s="109" t="s">
        <v>1518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 hidden="1">
      <c r="B121" s="100" t="str">
        <f>IF(FN_MC!Y101="","*",FN_MC!Y101)</f>
        <v>SIM</v>
      </c>
      <c r="C121" s="101">
        <f>IF(FN_MC!B101="","*",FN_MC!B101)</f>
        <v>46064</v>
      </c>
      <c r="D121" s="101" t="str">
        <f>IF(FN_MC!D101="","*",FN_MC!D101)</f>
        <v>V86</v>
      </c>
      <c r="E121" s="101" t="str">
        <f>IF(FN_MC!H101="","*",FN_MC!H101)</f>
        <v>TSF1</v>
      </c>
      <c r="F121" s="114" t="str">
        <f>IF(FN_MC!M101="","*",FN_MC!M101)</f>
        <v>TBS-TAL</v>
      </c>
      <c r="G121" s="101" t="str">
        <f>IF(FN_MC!I101="","*",FN_MC!I101)</f>
        <v>TMJ1</v>
      </c>
      <c r="H121" s="101" t="str">
        <f>IF(FN_MC!AB101="","*",FN_MC!AB101)</f>
        <v>FIXO</v>
      </c>
      <c r="I121" s="101" t="str">
        <f>IF(FN_MC!AC101="","*",FN_MC!AC101)</f>
        <v>*</v>
      </c>
      <c r="J121" s="102">
        <f>IF(FN_MC!AA101="","*",FN_MC!AA101)</f>
        <v>1</v>
      </c>
      <c r="K121" s="112">
        <f>IF(FN_MC!AD101="","*",FN_MC!AD101)</f>
        <v>0.29166666666666669</v>
      </c>
    </row>
    <row r="122" spans="2:11" hidden="1">
      <c r="B122" s="100" t="str">
        <f>IF(FN_MC!Y102="","*",FN_MC!Y102)</f>
        <v>OPORTUNIDADE</v>
      </c>
      <c r="C122" s="101">
        <f>IF(FN_MC!B102="","*",FN_MC!B102)</f>
        <v>46064</v>
      </c>
      <c r="D122" s="101" t="str">
        <f>IF(FN_MC!D102="","*",FN_MC!D102)</f>
        <v>FRANCISCO (TF-19)</v>
      </c>
      <c r="E122" s="101" t="str">
        <f>IF(FN_MC!H102="","*",FN_MC!H102)</f>
        <v>TEPPAT1</v>
      </c>
      <c r="F122" s="114" t="str">
        <f>IF(FN_MC!M102="","*",FN_MC!M102)</f>
        <v>TEP-TMJ</v>
      </c>
      <c r="G122" s="101" t="str">
        <f>IF(FN_MC!I102="","*",FN_MC!I102)</f>
        <v>-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-</v>
      </c>
    </row>
    <row r="123" spans="2:11" hidden="1">
      <c r="B123" s="100" t="str">
        <f>IF(FN_MC!Y103="","*",FN_MC!Y103)</f>
        <v>OPORTUNIDADE</v>
      </c>
      <c r="C123" s="101">
        <f>IF(FN_MC!B103="","*",FN_MC!B103)</f>
        <v>46064</v>
      </c>
      <c r="D123" s="101" t="str">
        <f>IF(FN_MC!D103="","*",FN_MC!D103)</f>
        <v>BRUNO (TF-525)</v>
      </c>
      <c r="E123" s="101" t="str">
        <f>IF(FN_MC!H103="","*",FN_MC!H103)</f>
        <v>TRM</v>
      </c>
      <c r="F123" s="114" t="str">
        <f>IF(FN_MC!M103="","*",FN_MC!M103)</f>
        <v>TRM</v>
      </c>
      <c r="G123" s="101" t="str">
        <f>IF(FN_MC!I103="","*",FN_MC!I103)</f>
        <v>-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-</v>
      </c>
    </row>
    <row r="124" spans="2:11" hidden="1">
      <c r="B124" s="100" t="str">
        <f>IF(FN_MC!Y104="","*",FN_MC!Y104)</f>
        <v>OPORTUNIDADE</v>
      </c>
      <c r="C124" s="101">
        <f>IF(FN_MC!B104="","*",FN_MC!B104)</f>
        <v>46064</v>
      </c>
      <c r="D124" s="101" t="str">
        <f>IF(FN_MC!D104="","*",FN_MC!D104)</f>
        <v>W70</v>
      </c>
      <c r="E124" s="101" t="str">
        <f>IF(FN_MC!H104="","*",FN_MC!H104)</f>
        <v>TGR2</v>
      </c>
      <c r="F124" s="114" t="str">
        <f>IF(FN_MC!M104="","*",FN_MC!M104)</f>
        <v>TGR-TIQ</v>
      </c>
      <c r="G124" s="101" t="str">
        <f>IF(FN_MC!I104="","*",FN_MC!I104)</f>
        <v>TIQ2</v>
      </c>
      <c r="H124" s="101" t="str">
        <f>IF(FN_MC!AB104="","*",FN_MC!AB104)</f>
        <v>FIXO</v>
      </c>
      <c r="I124" s="101" t="str">
        <f>IF(FN_MC!AC104="","*",FN_MC!AC104)</f>
        <v>*</v>
      </c>
      <c r="J124" s="102">
        <f>IF(FN_MC!AA104="","*",FN_MC!AA104)</f>
        <v>2</v>
      </c>
      <c r="K124" s="112">
        <f>IF(FN_MC!AD104="","*",FN_MC!AD104)</f>
        <v>0.75</v>
      </c>
    </row>
    <row r="125" spans="2:11" hidden="1">
      <c r="B125" s="100" t="str">
        <f>IF(FN_MC!Y105="","*",FN_MC!Y105)</f>
        <v>SIM</v>
      </c>
      <c r="C125" s="101">
        <f>IF(FN_MC!B105="","*",FN_MC!B105)</f>
        <v>46064</v>
      </c>
      <c r="D125" s="101" t="str">
        <f>IF(FN_MC!D105="","*",FN_MC!D105)</f>
        <v>ELSON (TF-526)</v>
      </c>
      <c r="E125" s="101" t="str">
        <f>IF(FN_MC!H105="","*",FN_MC!H105)</f>
        <v>-</v>
      </c>
      <c r="F125" s="114" t="str">
        <f>IF(FN_MC!M105="","*",FN_MC!M105)</f>
        <v>TPC-TVL</v>
      </c>
      <c r="G125" s="101" t="str">
        <f>IF(FN_MC!I105="","*",FN_MC!I105)</f>
        <v>-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-</v>
      </c>
    </row>
    <row r="126" spans="2:11" hidden="1">
      <c r="B126" s="100" t="str">
        <f>IF(FN_MC!Y106="","*",FN_MC!Y106)</f>
        <v>SIM</v>
      </c>
      <c r="C126" s="101">
        <f>IF(FN_MC!B106="","*",FN_MC!B106)</f>
        <v>46064</v>
      </c>
      <c r="D126" s="101" t="str">
        <f>IF(FN_MC!D106="","*",FN_MC!D106)</f>
        <v>A60</v>
      </c>
      <c r="E126" s="101" t="str">
        <f>IF(FN_MC!H106="","*",FN_MC!H106)</f>
        <v>TCS291</v>
      </c>
      <c r="F126" s="114" t="str">
        <f>IF(FN_MC!M106="","*",FN_MC!M106)</f>
        <v>TCS-TGR</v>
      </c>
      <c r="G126" s="101" t="str">
        <f>IF(FN_MC!I106="","*",FN_MC!I106)</f>
        <v>TGR512</v>
      </c>
      <c r="H126" s="101" t="str">
        <f>IF(FN_MC!AB106="","*",FN_MC!AB106)</f>
        <v>FIXO</v>
      </c>
      <c r="I126" s="101" t="str">
        <f>IF(FN_MC!AC106="","*",FN_MC!AC106)</f>
        <v>*</v>
      </c>
      <c r="J126" s="102">
        <f>IF(FN_MC!AA106="","*",FN_MC!AA106)</f>
        <v>1</v>
      </c>
      <c r="K126" s="112">
        <f>IF(FN_MC!AD106="","*",FN_MC!AD106)</f>
        <v>0.29166666666666669</v>
      </c>
    </row>
    <row r="127" spans="2:11" hidden="1">
      <c r="B127" s="100" t="str">
        <f>IF(FN_MC!Y108="","*",FN_MC!Y108)</f>
        <v>OPORTUNIDADE</v>
      </c>
      <c r="C127" s="101">
        <f>IF(FN_MC!B108="","*",FN_MC!B108)</f>
        <v>46064</v>
      </c>
      <c r="D127" s="101" t="str">
        <f>IF(FN_MC!D108="","*",FN_MC!D108)</f>
        <v>W50</v>
      </c>
      <c r="E127" s="101" t="str">
        <f>IF(FN_MC!H108="","*",FN_MC!H108)</f>
        <v xml:space="preserve">TCS2 </v>
      </c>
      <c r="F127" s="114" t="str">
        <f>IF(FN_MC!M108="","*",FN_MC!M108)</f>
        <v>TVI-TJA</v>
      </c>
      <c r="G127" s="101" t="str">
        <f>IF(FN_MC!I108="","*",FN_MC!I108)</f>
        <v xml:space="preserve">TCS2 </v>
      </c>
      <c r="H127" s="101" t="str">
        <f>IF(FN_MC!AB108="","*",FN_MC!AB108)</f>
        <v>FIXO</v>
      </c>
      <c r="I127" s="101" t="str">
        <f>IF(FN_MC!AC108="","*",FN_MC!AC108)</f>
        <v>*</v>
      </c>
      <c r="J127" s="102" t="str">
        <f>IF(FN_MC!AA108="","*",FN_MC!AA108)</f>
        <v>2 Maicon + Eder</v>
      </c>
      <c r="K127" s="112">
        <f>IF(FN_MC!AD108="","*",FN_MC!AD108)</f>
        <v>0.29166666666666669</v>
      </c>
    </row>
    <row r="128" spans="2:11" hidden="1">
      <c r="B128" s="100" t="str">
        <f>IF(FN_MC!Y109="","*",FN_MC!Y109)</f>
        <v>OPORTUNIDADE</v>
      </c>
      <c r="C128" s="101">
        <f>IF(FN_MC!B109="","*",FN_MC!B109)</f>
        <v>46064</v>
      </c>
      <c r="D128" s="101" t="str">
        <f>IF(FN_MC!D109="","*",FN_MC!D109)</f>
        <v>MARCOS (TF-520)</v>
      </c>
      <c r="E128" s="101" t="str">
        <f>IF(FN_MC!H109="","*",FN_MC!H109)</f>
        <v>TAPK35</v>
      </c>
      <c r="F128" s="114" t="str">
        <f>IF(FN_MC!M109="","*",FN_MC!M109)</f>
        <v>TAP-TLG</v>
      </c>
      <c r="G128" s="101" t="str">
        <f>IF(FN_MC!I109="","*",FN_MC!I109)</f>
        <v>-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-</v>
      </c>
    </row>
    <row r="129" spans="2:11" hidden="1">
      <c r="B129" s="100" t="str">
        <f>IF(FN_MC!Y110="","*",FN_MC!Y110)</f>
        <v>OPORTUNIDADE</v>
      </c>
      <c r="C129" s="101">
        <f>IF(FN_MC!B110="","*",FN_MC!B110)</f>
        <v>46064</v>
      </c>
      <c r="D129" s="101" t="str">
        <f>IF(FN_MC!D110="","*",FN_MC!D110)</f>
        <v>ANISIO (TF-514)</v>
      </c>
      <c r="E129" s="101" t="str">
        <f>IF(FN_MC!H110="","*",FN_MC!H110)</f>
        <v>TAPK35</v>
      </c>
      <c r="F129" s="114" t="str">
        <f>IF(FN_MC!M110="","*",FN_MC!M110)</f>
        <v>TAP-TLG</v>
      </c>
      <c r="G129" s="101" t="str">
        <f>IF(FN_MC!I110="","*",FN_MC!I110)</f>
        <v>-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-</v>
      </c>
    </row>
    <row r="130" spans="2:11" hidden="1">
      <c r="B130" s="100" t="str">
        <f>IF(FN_MC!Y111="","*",FN_MC!Y111)</f>
        <v>*</v>
      </c>
      <c r="C130" s="101">
        <f>IF(FN_MC!B111="","*",FN_MC!B111)</f>
        <v>46064</v>
      </c>
      <c r="D130" s="101" t="str">
        <f>IF(FN_MC!D111="","*",FN_MC!D111)</f>
        <v xml:space="preserve">TURMA FIXA VIA </v>
      </c>
      <c r="E130" s="101" t="str">
        <f>IF(FN_MC!H111="","*",FN_MC!H111)</f>
        <v>POVPJA</v>
      </c>
      <c r="F130" s="114" t="str">
        <f>IF(FN_MC!M111="","*",FN_MC!M111)</f>
        <v>PJA-POV</v>
      </c>
      <c r="G130" s="101" t="str">
        <f>IF(FN_MC!I111="","*",FN_MC!I111)</f>
        <v>-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>
        <f>IF(FN_MC!B114="","*",FN_MC!B114)</f>
        <v>46065</v>
      </c>
      <c r="D133" s="101" t="str">
        <f>IF(FN_MC!D114="","*",FN_MC!D114)</f>
        <v>V86</v>
      </c>
      <c r="E133" s="101" t="str">
        <f>IF(FN_MC!H114="","*",FN_MC!H114)</f>
        <v>TSF1</v>
      </c>
      <c r="F133" s="114" t="str">
        <f>IF(FN_MC!M114="","*",FN_MC!M114)</f>
        <v>TBS-TAL</v>
      </c>
      <c r="G133" s="101" t="str">
        <f>IF(FN_MC!I114="","*",FN_MC!I114)</f>
        <v>TMJ1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>
        <f>IF(FN_MC!B115="","*",FN_MC!B115)</f>
        <v>46065</v>
      </c>
      <c r="D134" s="101" t="str">
        <f>IF(FN_MC!D115="","*",FN_MC!D115)</f>
        <v>W70</v>
      </c>
      <c r="E134" s="101" t="str">
        <f>IF(FN_MC!H115="","*",FN_MC!H115)</f>
        <v>TIQ</v>
      </c>
      <c r="F134" s="114" t="str">
        <f>IF(FN_MC!M115="","*",FN_MC!M115)</f>
        <v>TSA-TBS</v>
      </c>
      <c r="G134" s="101" t="str">
        <f>IF(FN_MC!I115="","*",FN_MC!I115)</f>
        <v>TIQ2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>
        <f>IF(FN_MC!B117="","*",FN_MC!B117)</f>
        <v>46065</v>
      </c>
      <c r="D136" s="101" t="str">
        <f>IF(FN_MC!D117="","*",FN_MC!D117)</f>
        <v>FERNANDO (TF-19)</v>
      </c>
      <c r="E136" s="101" t="str">
        <f>IF(FN_MC!H117="","*",FN_MC!H117)</f>
        <v>TBS671</v>
      </c>
      <c r="F136" s="114" t="str">
        <f>IF(FN_MC!M117="","*",FN_MC!M117)</f>
        <v>TBS-TAL</v>
      </c>
      <c r="G136" s="101" t="str">
        <f>IF(FN_MC!I117="","*",FN_MC!I117)</f>
        <v>-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>
        <f>IF(FN_MC!B119="","*",FN_MC!B119)</f>
        <v>46065</v>
      </c>
      <c r="D138" s="101" t="str">
        <f>IF(FN_MC!D119="","*",FN_MC!D119)</f>
        <v>BRUNO (TF-525)</v>
      </c>
      <c r="E138" s="101" t="str">
        <f>IF(FN_MC!H119="","*",FN_MC!H119)</f>
        <v>TEPPAT1</v>
      </c>
      <c r="F138" s="114" t="str">
        <f>IF(FN_MC!M119="","*",FN_MC!M119)</f>
        <v>TEP-TMJ</v>
      </c>
      <c r="G138" s="101" t="str">
        <f>IF(FN_MC!I119="","*",FN_MC!I119)</f>
        <v>-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>
        <f>IF(FN_MC!B121="","*",FN_MC!B121)</f>
        <v>46065</v>
      </c>
      <c r="D140" s="101" t="str">
        <f>IF(FN_MC!D121="","*",FN_MC!D121)</f>
        <v>W50</v>
      </c>
      <c r="E140" s="101" t="str">
        <f>IF(FN_MC!H121="","*",FN_MC!H121)</f>
        <v xml:space="preserve">TCS2 </v>
      </c>
      <c r="F140" s="114" t="str">
        <f>IF(FN_MC!M121="","*",FN_MC!M121)</f>
        <v>TVI-TJA</v>
      </c>
      <c r="G140" s="101" t="str">
        <f>IF(FN_MC!I121="","*",FN_MC!I121)</f>
        <v xml:space="preserve">TCS2 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>
        <f>IF(FN_MC!B123="","*",FN_MC!B123)</f>
        <v>46065</v>
      </c>
      <c r="D142" s="101" t="str">
        <f>IF(FN_MC!D123="","*",FN_MC!D123)</f>
        <v>V66</v>
      </c>
      <c r="E142" s="101" t="str">
        <f>IF(FN_MC!H123="","*",FN_MC!H123)</f>
        <v>TID2</v>
      </c>
      <c r="F142" s="114" t="str">
        <f>IF(FN_MC!M123="","*",FN_MC!M123)</f>
        <v>TCE-TID</v>
      </c>
      <c r="G142" s="101" t="str">
        <f>IF(FN_MC!I123="","*",FN_MC!I123)</f>
        <v>TID2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>
        <f>IF(FN_MC!B125="","*",FN_MC!B125)</f>
        <v>46065</v>
      </c>
      <c r="D144" s="101" t="str">
        <f>IF(FN_MC!D125="","*",FN_MC!D125)</f>
        <v>MARCOS (TF-520)</v>
      </c>
      <c r="E144" s="101" t="str">
        <f>IF(FN_MC!H125="","*",FN_MC!H125)</f>
        <v>TMO1</v>
      </c>
      <c r="F144" s="114" t="str">
        <f>IF(FN_MC!M125="","*",FN_MC!M125)</f>
        <v>TMO</v>
      </c>
      <c r="G144" s="101" t="str">
        <f>IF(FN_MC!I125="","*",FN_MC!I125)</f>
        <v>-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>
        <f>IF(FN_MC!B127="","*",FN_MC!B127)</f>
        <v>46065</v>
      </c>
      <c r="D146" s="101" t="str">
        <f>IF(FN_MC!D127="","*",FN_MC!D127)</f>
        <v>ANISIO (TF-514)</v>
      </c>
      <c r="E146" s="101" t="str">
        <f>IF(FN_MC!H127="","*",FN_MC!H127)</f>
        <v>TAPK35</v>
      </c>
      <c r="F146" s="114" t="str">
        <f>IF(FN_MC!M127="","*",FN_MC!M127)</f>
        <v>TAP-TLG</v>
      </c>
      <c r="G146" s="101" t="str">
        <f>IF(FN_MC!I127="","*",FN_MC!I127)</f>
        <v>-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>
        <f>IF(FN_MC!B129="","*",FN_MC!B129)</f>
        <v>46065</v>
      </c>
      <c r="D148" s="101" t="str">
        <f>IF(FN_MC!D129="","*",FN_MC!D129)</f>
        <v>A88</v>
      </c>
      <c r="E148" s="101" t="str">
        <f>IF(FN_MC!H129="","*",FN_MC!H129)</f>
        <v>ZTP</v>
      </c>
      <c r="F148" s="114" t="str">
        <f>IF(FN_MC!M129="","*",FN_MC!M129)</f>
        <v>ZAY-ZTP</v>
      </c>
      <c r="G148" s="101" t="str">
        <f>IF(FN_MC!I129="","*",FN_MC!I129)</f>
        <v>ZJU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abSelected="1" workbookViewId="0">
      <selection activeCell="A2" sqref="A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5" t="s">
        <v>1259</v>
      </c>
      <c r="Q2" s="266"/>
      <c r="R2" s="88"/>
      <c r="S2" s="88"/>
      <c r="T2" s="89"/>
      <c r="U2" s="267" t="s">
        <v>1519</v>
      </c>
      <c r="V2" s="267"/>
      <c r="W2" s="267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1520</v>
      </c>
      <c r="B3" s="91" t="s">
        <v>1521</v>
      </c>
      <c r="C3" s="91" t="s">
        <v>7</v>
      </c>
      <c r="D3" s="92" t="s">
        <v>1211</v>
      </c>
      <c r="E3" s="92" t="s">
        <v>366</v>
      </c>
      <c r="F3" s="92" t="s">
        <v>1522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1523</v>
      </c>
      <c r="T3" s="94" t="s">
        <v>1214</v>
      </c>
      <c r="U3" s="90">
        <f ca="1">TODAY()-1</f>
        <v>46063</v>
      </c>
      <c r="V3" s="90">
        <f ca="1">U3-1</f>
        <v>46062</v>
      </c>
      <c r="W3" s="90">
        <f ca="1">V3-1</f>
        <v>46061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4512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0</v>
      </c>
      <c r="W10" s="98" t="str">
        <f ca="1">_xlfn.XLOOKUP(G10&amp;$W$3,BS_CONTROLE[CHAVE],BS_CONTROLE[Quantidade_11],"-")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936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0</v>
      </c>
      <c r="W13" s="98" t="str">
        <f ca="1">_xlfn.XLOOKUP(G13&amp;$W$3,BS_CONTROLE[CHAVE],BS_CONTROLE[Quantidade_11],"-")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2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4512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0</v>
      </c>
      <c r="W18" s="98" t="str">
        <f ca="1">_xlfn.XLOOKUP(G18&amp;$W$3,BS_CONTROLE[CHAVE],BS_CONTROLE[Quantidade_11],"-")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936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0</v>
      </c>
      <c r="W21" s="98" t="str">
        <f ca="1">_xlfn.XLOOKUP(G21&amp;$W$3,BS_CONTROLE[CHAVE],BS_CONTROLE[Quantidade_11],"-")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4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13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4512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0</v>
      </c>
      <c r="W30" s="98" t="str">
        <f ca="1">_xlfn.XLOOKUP(G30&amp;$W$3,BS_CONTROLE[CHAVE],BS_CONTROLE[Quantidade_11],"-")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936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0</v>
      </c>
      <c r="W33" s="98" t="str">
        <f ca="1">_xlfn.XLOOKUP(G33&amp;$W$3,BS_CONTROLE[CHAVE],BS_CONTROLE[Quantidade_11],"-")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4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100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4512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0</v>
      </c>
      <c r="W42" s="98" t="str">
        <f ca="1">_xlfn.XLOOKUP(G42&amp;$W$3,BS_CONTROLE[CHAVE],BS_CONTROLE[Quantidade_11],"-")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936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0</v>
      </c>
      <c r="W46" s="98" t="str">
        <f ca="1">_xlfn.XLOOKUP(G46&amp;$W$3,BS_CONTROLE[CHAVE],BS_CONTROLE[Quantidade_11],"-")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4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100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4512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0</v>
      </c>
      <c r="W55" s="98" t="str">
        <f ca="1">_xlfn.XLOOKUP(G55&amp;$W$3,BS_CONTROLE[CHAVE],BS_CONTROLE[Quantidade_11],"-")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100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0</v>
      </c>
      <c r="W58" s="98" t="str">
        <f ca="1">_xlfn.XLOOKUP(G58&amp;$W$3,BS_CONTROLE[CHAVE],BS_CONTROLE[Quantidade_11],"-")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4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936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4512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0</v>
      </c>
      <c r="W64" s="98" t="str">
        <f ca="1">_xlfn.XLOOKUP(G64&amp;$W$3,BS_CONTROLE[CHAVE],BS_CONTROLE[Quantidade_11],"-")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0</v>
      </c>
      <c r="W66" s="98" t="str">
        <f ca="1">_xlfn.XLOOKUP(G66&amp;$W$3,BS_CONTROLE[CHAVE],BS_CONTROLE[Quantidade_11],"-")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4512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4512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0</v>
      </c>
      <c r="W73" s="98" t="str">
        <f ca="1">_xlfn.XLOOKUP(G73&amp;$W$3,BS_CONTROLE[CHAVE],BS_CONTROLE[Quantidade_11],"-")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100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0</v>
      </c>
      <c r="W76" s="98" t="str">
        <f ca="1">_xlfn.XLOOKUP(G76&amp;$W$3,BS_CONTROLE[CHAVE],BS_CONTROLE[Quantidade_11],"-")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4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e">
        <f>IF(FN_MC!#REF!="","*",FN_MC!#REF!)</f>
        <v>#REF!</v>
      </c>
      <c r="B78" s="95" t="e">
        <f>IF(FN_MC!#REF!="","*",FN_MC!#REF!)</f>
        <v>#REF!</v>
      </c>
      <c r="C78" s="95" t="e">
        <f>IF(FN_MC!#REF!="","*",FN_MC!#REF!)</f>
        <v>#REF!</v>
      </c>
      <c r="D78" s="96" t="e">
        <f>IF(FN_MC!#REF!="","*",FN_MC!#REF!)</f>
        <v>#REF!</v>
      </c>
      <c r="E78" s="96" t="e">
        <f>IF(FN_MC!#REF!="","*",FN_MC!#REF!)</f>
        <v>#REF!</v>
      </c>
      <c r="F78" s="96" t="e">
        <f>IF(FN_MC!#REF!="","*",FN_MC!#REF!)</f>
        <v>#REF!</v>
      </c>
      <c r="G78" s="96" t="e">
        <f>IF(FN_MC!#REF!="","*",FN_MC!#REF!)</f>
        <v>#REF!</v>
      </c>
      <c r="H78" s="96" t="e">
        <f>IF(FN_MC!#REF!="","*",FN_MC!#REF!)</f>
        <v>#REF!</v>
      </c>
      <c r="I78" s="96" t="e">
        <f>IF(FN_MC!#REF!="","*",FN_MC!#REF!)</f>
        <v>#REF!</v>
      </c>
      <c r="J78" s="96" t="e">
        <f>IF(FN_MC!#REF!="","*",FN_MC!#REF!)</f>
        <v>#REF!</v>
      </c>
      <c r="K78" s="96" t="e">
        <f>IF(FN_MC!#REF!="","*",FN_MC!#REF!)</f>
        <v>#REF!</v>
      </c>
      <c r="L78" s="196" t="e">
        <f>IF(FN_MC!#REF!="","*",FN_MC!#REF!)</f>
        <v>#REF!</v>
      </c>
      <c r="M78" s="97" t="e">
        <f>IF(FN_MC!#REF!="","*",FN_MC!#REF!)</f>
        <v>#REF!</v>
      </c>
      <c r="N78" s="183" t="e">
        <f>IF(FN_MC!#REF!="","*",FN_MC!#REF!)</f>
        <v>#REF!</v>
      </c>
      <c r="O78" s="183" t="e">
        <f>IF(FN_MC!#REF!="","*",FN_MC!#REF!)</f>
        <v>#REF!</v>
      </c>
      <c r="P78" s="107" t="e">
        <f>IF(FN_MC!#REF!="","*",FN_MC!#REF!)</f>
        <v>#REF!</v>
      </c>
      <c r="Q78" s="107" t="e">
        <f>IF(FN_MC!#REF!="","*",FN_MC!#REF!)</f>
        <v>#REF!</v>
      </c>
      <c r="R78" s="96" t="e">
        <f>IF(FN_MC!#REF!="","*",CONCATENATE(FN_MC!#REF!," ",FN_MC!#REF!))</f>
        <v>#REF!</v>
      </c>
      <c r="S78" s="96" t="e">
        <f>IF(FN_MC!#REF!="","*",FN_MC!#REF!)</f>
        <v>#REF!</v>
      </c>
      <c r="T78" s="96" t="e">
        <f>IF(FN_MC!#REF!="","*",FN_MC!#REF!)</f>
        <v>#REF!</v>
      </c>
      <c r="U78" s="98" t="e">
        <f ca="1">_xlfn.XLOOKUP(G78&amp;$U$3,BS_CONTROLE[CHAVE],BS_CONTROLE[Quantidade_11],"-")</f>
        <v>#REF!</v>
      </c>
      <c r="V78" s="98" t="e">
        <f ca="1">_xlfn.XLOOKUP(G78&amp;$V$3,BS_CONTROLE[CHAVE],BS_CONTROLE[Quantidade_11],"-")</f>
        <v>#REF!</v>
      </c>
      <c r="W78" s="98" t="e">
        <f ca="1">_xlfn.XLOOKUP(G78&amp;$W$3,BS_CONTROLE[CHAVE],BS_CONTROLE[Quantidade_11],"-")</f>
        <v>#REF!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*</v>
      </c>
      <c r="B79" s="95" t="str">
        <f>IF(FN_MC!X80="","*",FN_MC!X80)</f>
        <v>Oportunidade</v>
      </c>
      <c r="C79" s="95" t="str">
        <f>IF(FN_MC!Z80="","*",FN_MC!Z80)</f>
        <v>*</v>
      </c>
      <c r="D79" s="96" t="str">
        <f>IF(FN_MC!S80="","*",FN_MC!S80)</f>
        <v>FERRONORTE</v>
      </c>
      <c r="E79" s="96" t="str">
        <f>IF(FN_MC!T80="","*",FN_MC!T80)</f>
        <v>TMI-TCS</v>
      </c>
      <c r="F79" s="96">
        <f>IF(FN_MC!B80="","*",FN_MC!B80)</f>
        <v>46062</v>
      </c>
      <c r="G79" s="96" t="str">
        <f>IF(FN_MC!D80="","*",FN_MC!D80)</f>
        <v>V66</v>
      </c>
      <c r="H79" s="96" t="str">
        <f>IF(FN_MC!F80="","*",FN_MC!F80)</f>
        <v>MODERNIZAÇÃO - REGULAGEM</v>
      </c>
      <c r="I79" s="96" t="str">
        <f>IF(FN_MC!H80="","*",FN_MC!H80)</f>
        <v>TID2</v>
      </c>
      <c r="J79" s="96" t="str">
        <f>IF(FN_MC!I80="","*",FN_MC!I80)</f>
        <v>TID2</v>
      </c>
      <c r="K79" s="96" t="str">
        <f>IF(FN_MC!M80="","*",FN_MC!M80)</f>
        <v>TCE-TID</v>
      </c>
      <c r="L79" s="196" t="str">
        <f>IF(FN_MC!N80="","*",FN_MC!N80)</f>
        <v>TCE177</v>
      </c>
      <c r="M79" s="97">
        <f>IF(FN_MC!J80="","*",FN_MC!J80)</f>
        <v>74</v>
      </c>
      <c r="N79" s="183">
        <f>IF(FN_MC!K80="","*",FN_MC!K80)</f>
        <v>172</v>
      </c>
      <c r="O79" s="183">
        <f>IF(FN_MC!L80="","*",FN_MC!L80)</f>
        <v>173</v>
      </c>
      <c r="P79" s="107">
        <f>IF(FN_MC!O80="","*",FN_MC!O80)</f>
        <v>0.45833333333333331</v>
      </c>
      <c r="Q79" s="107">
        <f>IF(FN_MC!P80="","*",FN_MC!P80)</f>
        <v>8.3333333333333329E-2</v>
      </c>
      <c r="R79" s="96" t="str">
        <f>IF(FN_MC!Q80="","*",CONCATENATE(FN_MC!Q80," ",FN_MC!R80))</f>
        <v>500 M</v>
      </c>
      <c r="S79" s="96" t="str">
        <f>IF(FN_MC!V80="","*",FN_MC!V80)</f>
        <v>Augusto/ Efraim</v>
      </c>
      <c r="T79" s="96" t="str">
        <f>IF(FN_MC!W80="","*",FN_MC!W80)</f>
        <v>Regulagem de brita</v>
      </c>
      <c r="U79" s="98">
        <f ca="1">_xlfn.XLOOKUP(G79&amp;$U$3,BS_CONTROLE[CHAVE],BS_CONTROLE[Quantidade_11],"-")</f>
        <v>1000</v>
      </c>
      <c r="V79" s="98">
        <f ca="1">_xlfn.XLOOKUP(G79&amp;$V$3,BS_CONTROLE[CHAVE],BS_CONTROLE[Quantidade_11],"-")</f>
        <v>0</v>
      </c>
      <c r="W79" s="98">
        <f ca="1">_xlfn.XLOOKUP(G79&amp;$W$3,BS_CONTROLE[CHAVE],BS_CONTROLE[Quantidade_11],"-")</f>
        <v>1000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Oportunidade</v>
      </c>
      <c r="C80" s="95" t="str">
        <f>IF(FN_MC!Z81="","*",FN_MC!Z81)</f>
        <v>*</v>
      </c>
      <c r="D80" s="96" t="str">
        <f>IF(FN_MC!S81="","*",FN_MC!S81)</f>
        <v>FERRONORTE</v>
      </c>
      <c r="E80" s="96" t="str">
        <f>IF(FN_MC!T81="","*",FN_MC!T81)</f>
        <v>TMI-TCS</v>
      </c>
      <c r="F80" s="96">
        <f>IF(FN_MC!B81="","*",FN_MC!B81)</f>
        <v>46062</v>
      </c>
      <c r="G80" s="96" t="str">
        <f>IF(FN_MC!D81="","*",FN_MC!D81)</f>
        <v>ANISIO (TF-514)</v>
      </c>
      <c r="H80" s="96" t="str">
        <f>IF(FN_MC!F81="","*",FN_MC!F81)</f>
        <v>PDM - SUBSTITUIÇÃO - TRILHO</v>
      </c>
      <c r="I80" s="96" t="str">
        <f>IF(FN_MC!H81="","*",FN_MC!H81)</f>
        <v>-</v>
      </c>
      <c r="J80" s="96" t="str">
        <f>IF(FN_MC!I81="","*",FN_MC!I81)</f>
        <v>-</v>
      </c>
      <c r="K80" s="96" t="str">
        <f>IF(FN_MC!M81="","*",FN_MC!M81)</f>
        <v>TLG-TQI</v>
      </c>
      <c r="L80" s="196" t="str">
        <f>IF(FN_MC!N81="","*",FN_MC!N81)</f>
        <v>K52TQI</v>
      </c>
      <c r="M80" s="97">
        <f>IF(FN_MC!J81="","*",FN_MC!J81)</f>
        <v>74</v>
      </c>
      <c r="N80" s="183">
        <f>IF(FN_MC!K81="","*",FN_MC!K81)</f>
        <v>54.53</v>
      </c>
      <c r="O80" s="183" t="str">
        <f>IF(FN_MC!L81="","*",FN_MC!L81)</f>
        <v>-</v>
      </c>
      <c r="P80" s="107">
        <f>IF(FN_MC!O81="","*",FN_MC!O81)</f>
        <v>0.41666666666666669</v>
      </c>
      <c r="Q80" s="107">
        <f>IF(FN_MC!P81="","*",FN_MC!P81)</f>
        <v>4.1666666666666664E-2</v>
      </c>
      <c r="R80" s="96" t="str">
        <f>IF(FN_MC!Q81="","*",CONCATENATE(FN_MC!Q81," ",FN_MC!R81))</f>
        <v>8 M</v>
      </c>
      <c r="S80" s="96" t="str">
        <f>IF(FN_MC!V81="","*",FN_MC!V81)</f>
        <v>Anisio</v>
      </c>
      <c r="T80" s="96" t="str">
        <f>IF(FN_MC!W81="","*",FN_MC!W81)</f>
        <v>Substituição de trilho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0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Extra</v>
      </c>
      <c r="C81" s="95" t="str">
        <f>IF(FN_MC!Z82="","*",FN_MC!Z82)</f>
        <v>*</v>
      </c>
      <c r="D81" s="96" t="str">
        <f>IF(FN_MC!S82="","*",FN_MC!S82)</f>
        <v>MALHA CENTRAL</v>
      </c>
      <c r="E81" s="96" t="str">
        <f>IF(FN_MC!T82="","*",FN_MC!T82)</f>
        <v>PPN-POV</v>
      </c>
      <c r="F81" s="96">
        <f>IF(FN_MC!B82="","*",FN_MC!B82)</f>
        <v>46062</v>
      </c>
      <c r="G81" s="96" t="str">
        <f>IF(FN_MC!D82="","*",FN_MC!D82)</f>
        <v>E14</v>
      </c>
      <c r="H81" s="96" t="str">
        <f>IF(FN_MC!F82="","*",FN_MC!F82)</f>
        <v>DESLOCAMENTO</v>
      </c>
      <c r="I81" s="96" t="str">
        <f>IF(FN_MC!H82="","*",FN_MC!H82)</f>
        <v>PPN1</v>
      </c>
      <c r="J81" s="96" t="str">
        <f>IF(FN_MC!I82="","*",FN_MC!I82)</f>
        <v>PGU2</v>
      </c>
      <c r="K81" s="96" t="str">
        <f>IF(FN_MC!M82="","*",FN_MC!M82)</f>
        <v>PPN</v>
      </c>
      <c r="L81" s="196" t="str">
        <f>IF(FN_MC!N82="","*",FN_MC!N82)</f>
        <v>PPN1</v>
      </c>
      <c r="M81" s="97">
        <f>IF(FN_MC!J82="","*",FN_MC!J82)</f>
        <v>101</v>
      </c>
      <c r="N81" s="183">
        <f>IF(FN_MC!K82="","*",FN_MC!K82)</f>
        <v>721</v>
      </c>
      <c r="O81" s="183" t="str">
        <f>IF(FN_MC!L82="","*",FN_MC!L82)</f>
        <v>-</v>
      </c>
      <c r="P81" s="107">
        <f>IF(FN_MC!O82="","*",FN_MC!O82)</f>
        <v>0.99930555555555556</v>
      </c>
      <c r="Q81" s="107">
        <f>IF(FN_MC!P82="","*",FN_MC!P82)</f>
        <v>4.1666666666666664E-2</v>
      </c>
      <c r="R81" s="96" t="str">
        <f>IF(FN_MC!Q82="","*",CONCATENATE(FN_MC!Q82," ",FN_MC!R82))</f>
        <v>1 BINÁRIO</v>
      </c>
      <c r="S81" s="96" t="str">
        <f>IF(FN_MC!V82="","*",FN_MC!V82)</f>
        <v>Fernanda</v>
      </c>
      <c r="T81" s="96" t="str">
        <f>IF(FN_MC!W82="","*",FN_MC!W82)</f>
        <v>Deslocamento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1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Oportunidade</v>
      </c>
      <c r="C82" s="95" t="str">
        <f>IF(FN_MC!Z83="","*",FN_MC!Z83)</f>
        <v>*</v>
      </c>
      <c r="D82" s="96" t="str">
        <f>IF(FN_MC!S83="","*",FN_MC!S83)</f>
        <v>MALHA CENTRAL</v>
      </c>
      <c r="E82" s="96" t="str">
        <f>IF(FN_MC!T83="","*",FN_MC!T83)</f>
        <v>PPN-POV</v>
      </c>
      <c r="F82" s="96">
        <f>IF(FN_MC!B83="","*",FN_MC!B83)</f>
        <v>46062</v>
      </c>
      <c r="G82" s="96" t="str">
        <f>IF(FN_MC!D83="","*",FN_MC!D83)</f>
        <v xml:space="preserve">TURMA FIXA VIA </v>
      </c>
      <c r="H82" s="96" t="str">
        <f>IF(FN_MC!F83="","*",FN_MC!F83)</f>
        <v>PDM - SUBSTITUIÇÃO - TRILHO</v>
      </c>
      <c r="I82" s="96" t="str">
        <f>IF(FN_MC!H83="","*",FN_MC!H83)</f>
        <v>POVPJA</v>
      </c>
      <c r="J82" s="96" t="str">
        <f>IF(FN_MC!I83="","*",FN_MC!I83)</f>
        <v>-</v>
      </c>
      <c r="K82" s="96" t="str">
        <f>IF(FN_MC!M83="","*",FN_MC!M83)</f>
        <v>PJA-POV</v>
      </c>
      <c r="L82" s="196" t="str">
        <f>IF(FN_MC!N83="","*",FN_MC!N83)</f>
        <v>POVPJA</v>
      </c>
      <c r="M82" s="97">
        <f>IF(FN_MC!J83="","*",FN_MC!J83)</f>
        <v>101</v>
      </c>
      <c r="N82" s="183">
        <f>IF(FN_MC!K83="","*",FN_MC!K83)</f>
        <v>1519.6</v>
      </c>
      <c r="O82" s="183" t="str">
        <f>IF(FN_MC!L83="","*",FN_MC!L83)</f>
        <v>-</v>
      </c>
      <c r="P82" s="107">
        <f>IF(FN_MC!O83="","*",FN_MC!O83)</f>
        <v>0.52083333333333337</v>
      </c>
      <c r="Q82" s="107">
        <f>IF(FN_MC!P83="","*",FN_MC!P83)</f>
        <v>8.3333333333333329E-2</v>
      </c>
      <c r="R82" s="96" t="str">
        <f>IF(FN_MC!Q83="","*",CONCATENATE(FN_MC!Q83," ",FN_MC!R83))</f>
        <v>8 M</v>
      </c>
      <c r="S82" s="96" t="str">
        <f>IF(FN_MC!V83="","*",FN_MC!V83)</f>
        <v xml:space="preserve">Carlos </v>
      </c>
      <c r="T82" s="96" t="str">
        <f>IF(FN_MC!W83="","*",FN_MC!W83)</f>
        <v xml:space="preserve">Execução de solda - Condicionado a temperatura </v>
      </c>
      <c r="U82" s="98" t="str">
        <f ca="1">_xlfn.XLOOKUP(G82&amp;$U$3,BS_CONTROLE[CHAVE],BS_CONTROLE[Quantidade_11],"-")</f>
        <v>-</v>
      </c>
      <c r="V82" s="98">
        <f ca="1">_xlfn.XLOOKUP(G82&amp;$V$3,BS_CONTROLE[CHAVE],BS_CONTROLE[Quantidade_11],"-")</f>
        <v>8</v>
      </c>
      <c r="W82" s="98" t="str">
        <f ca="1">_xlfn.XLOOKUP(G82&amp;$W$3,BS_CONTROLE[CHAVE],BS_CONTROLE[Quantidade_11],"-")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SIM</v>
      </c>
      <c r="B83" s="95" t="str">
        <f>IF(FN_MC!X84="","*",FN_MC!X84)</f>
        <v>Contrato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46063</v>
      </c>
      <c r="G83" s="96" t="str">
        <f>IF(FN_MC!D84="","*",FN_MC!D84)</f>
        <v>V86</v>
      </c>
      <c r="H83" s="96" t="str">
        <f>IF(FN_MC!F84="","*",FN_MC!F84)</f>
        <v>MECANIZAÇÃO - SOCADORA</v>
      </c>
      <c r="I83" s="96" t="str">
        <f>IF(FN_MC!H84="","*",FN_MC!H84)</f>
        <v>TSF</v>
      </c>
      <c r="J83" s="96" t="str">
        <f>IF(FN_MC!I84="","*",FN_MC!I84)</f>
        <v>TSF</v>
      </c>
      <c r="K83" s="96" t="str">
        <f>IF(FN_MC!M84="","*",FN_MC!M84)</f>
        <v>TAL-TSF</v>
      </c>
      <c r="L83" s="196" t="str">
        <f>IF(FN_MC!N84="","*",FN_MC!N84)</f>
        <v>710TSF</v>
      </c>
      <c r="M83" s="97">
        <f>IF(FN_MC!J84="","*",FN_MC!J84)</f>
        <v>98</v>
      </c>
      <c r="N83" s="183">
        <f>IF(FN_MC!K84="","*",FN_MC!K84)</f>
        <v>710.1</v>
      </c>
      <c r="O83" s="183">
        <f>IF(FN_MC!L84="","*",FN_MC!L84)</f>
        <v>713</v>
      </c>
      <c r="P83" s="107">
        <f>IF(FN_MC!O84="","*",FN_MC!O84)</f>
        <v>0.4375</v>
      </c>
      <c r="Q83" s="107">
        <f>IF(FN_MC!P84="","*",FN_MC!P84)</f>
        <v>0.125</v>
      </c>
      <c r="R83" s="96" t="str">
        <f>IF(FN_MC!Q84="","*",CONCATENATE(FN_MC!Q84," ",FN_MC!R84))</f>
        <v>1680 M</v>
      </c>
      <c r="S83" s="96" t="str">
        <f>IF(FN_MC!V84="","*",FN_MC!V84)</f>
        <v>Antonioni</v>
      </c>
      <c r="T83" s="232" t="str">
        <f>IF(FN_MC!W84="","*",FN_MC!W84)</f>
        <v xml:space="preserve">
</v>
      </c>
      <c r="U83" s="98">
        <f ca="1">_xlfn.XLOOKUP(G83&amp;$U$3,BS_CONTROLE[CHAVE],BS_CONTROLE[Quantidade_11],"-")</f>
        <v>4512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IF(FN_MC!Y85="","*",FN_MC!Y85)</f>
        <v>OPORTUNIDADE</v>
      </c>
      <c r="B84" s="95" t="str">
        <f>IF(FN_MC!X85="","*",FN_MC!X85)</f>
        <v>Oportunidade</v>
      </c>
      <c r="C84" s="95" t="str">
        <f>IF(FN_MC!Z85="","*",FN_MC!Z85)</f>
        <v>*</v>
      </c>
      <c r="D84" s="96" t="str">
        <f>IF(FN_MC!S85="","*",FN_MC!S85)</f>
        <v>FERRONORTE</v>
      </c>
      <c r="E84" s="96" t="str">
        <f>IF(FN_MC!T85="","*",FN_MC!T85)</f>
        <v>TGR-TRO</v>
      </c>
      <c r="F84" s="96">
        <f>IF(FN_MC!B85="","*",FN_MC!B85)</f>
        <v>46063</v>
      </c>
      <c r="G84" s="96" t="str">
        <f>IF(FN_MC!D85="","*",FN_MC!D85)</f>
        <v>W70</v>
      </c>
      <c r="H84" s="96" t="str">
        <f>IF(FN_MC!F85="","*",FN_MC!F85)</f>
        <v>PDM - PEDRA - DESCARGA</v>
      </c>
      <c r="I84" s="96" t="str">
        <f>IF(FN_MC!H85="","*",FN_MC!H85)</f>
        <v>TIQ</v>
      </c>
      <c r="J84" s="96" t="str">
        <f>IF(FN_MC!I85="","*",FN_MC!I85)</f>
        <v>TGR2</v>
      </c>
      <c r="K84" s="96" t="str">
        <f>IF(FN_MC!M85="","*",FN_MC!M85)</f>
        <v>TAL-TSF</v>
      </c>
      <c r="L84" s="196">
        <f>IF(FN_MC!N85="","*",FN_MC!N85)</f>
        <v>699710</v>
      </c>
      <c r="M84" s="97">
        <f>IF(FN_MC!J85="","*",FN_MC!J85)</f>
        <v>98</v>
      </c>
      <c r="N84" s="183">
        <f>IF(FN_MC!K85="","*",FN_MC!K85)</f>
        <v>704</v>
      </c>
      <c r="O84" s="183">
        <f>IF(FN_MC!L85="","*",FN_MC!L85)</f>
        <v>706</v>
      </c>
      <c r="P84" s="107">
        <f>IF(FN_MC!O85="","*",FN_MC!O85)</f>
        <v>0.375</v>
      </c>
      <c r="Q84" s="107">
        <f>IF(FN_MC!P85="","*",FN_MC!P85)</f>
        <v>0.125</v>
      </c>
      <c r="R84" s="96" t="str">
        <f>IF(FN_MC!Q85="","*",CONCATENATE(FN_MC!Q85," ",FN_MC!R85))</f>
        <v>27 VAGÕES</v>
      </c>
      <c r="S84" s="96" t="str">
        <f>IF(FN_MC!V85="","*",FN_MC!V85)</f>
        <v xml:space="preserve">Camila </v>
      </c>
      <c r="T84" s="232" t="str">
        <f>IF(FN_MC!W85="","*",FN_MC!W85)</f>
        <v xml:space="preserve">Descarga de pedra </v>
      </c>
      <c r="U84" s="98">
        <f ca="1">_xlfn.XLOOKUP(G84&amp;$U$3,BS_CONTROLE[CHAVE],BS_CONTROLE[Quantidade_11],"-")</f>
        <v>27</v>
      </c>
      <c r="V84" s="98">
        <f ca="1">_xlfn.XLOOKUP(G84&amp;$V$3,BS_CONTROLE[CHAVE],BS_CONTROLE[Quantidade_11],"-")</f>
        <v>0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IF(FN_MC!Y86="","*",FN_MC!Y86)</f>
        <v>*</v>
      </c>
      <c r="B85" s="95" t="str">
        <f>IF(FN_MC!X86="","*",FN_MC!X86)</f>
        <v>*</v>
      </c>
      <c r="C85" s="95" t="str">
        <f>IF(FN_MC!Z86="","*",FN_MC!Z86)</f>
        <v>*</v>
      </c>
      <c r="D85" s="96" t="str">
        <f>IF(FN_MC!S86="","*",FN_MC!S86)</f>
        <v>-</v>
      </c>
      <c r="E85" s="96" t="str">
        <f>IF(FN_MC!T86="","*",FN_MC!T86)</f>
        <v>-</v>
      </c>
      <c r="F85" s="96" t="str">
        <f>IF(FN_MC!B86="","*",FN_MC!B86)</f>
        <v>*</v>
      </c>
      <c r="G85" s="96" t="str">
        <f>IF(FN_MC!D86="","*",FN_MC!D86)</f>
        <v>*</v>
      </c>
      <c r="H85" s="96" t="str">
        <f>IF(FN_MC!F86="","*",FN_MC!F86)</f>
        <v>*</v>
      </c>
      <c r="I85" s="96" t="str">
        <f>IF(FN_MC!H86="","*",FN_MC!H86)</f>
        <v>*</v>
      </c>
      <c r="J85" s="96" t="str">
        <f>IF(FN_MC!I86="","*",FN_MC!I86)</f>
        <v>*</v>
      </c>
      <c r="K85" s="96" t="str">
        <f>IF(FN_MC!M86="","*",FN_MC!M86)</f>
        <v>-</v>
      </c>
      <c r="L85" s="196" t="str">
        <f>IF(FN_MC!N86="","*",FN_MC!N86)</f>
        <v>-</v>
      </c>
      <c r="M85" s="97" t="str">
        <f>IF(FN_MC!J86="","*",FN_MC!J86)</f>
        <v>*</v>
      </c>
      <c r="N85" s="183" t="str">
        <f>IF(FN_MC!K86="","*",FN_MC!K86)</f>
        <v>*</v>
      </c>
      <c r="O85" s="183" t="str">
        <f>IF(FN_MC!L86="","*",FN_MC!L86)</f>
        <v>-</v>
      </c>
      <c r="P85" s="107" t="str">
        <f>IF(FN_MC!O86="","*",FN_MC!O86)</f>
        <v>*</v>
      </c>
      <c r="Q85" s="107" t="str">
        <f>IF(FN_MC!P86="","*",FN_MC!P86)</f>
        <v>*</v>
      </c>
      <c r="R85" s="96" t="str">
        <f>IF(FN_MC!Q86="","*",CONCATENATE(FN_MC!Q86," ",FN_MC!R86))</f>
        <v>*</v>
      </c>
      <c r="S85" s="96" t="str">
        <f>IF(FN_MC!V86="","*",FN_MC!V86)</f>
        <v>*</v>
      </c>
      <c r="T85" s="96" t="str">
        <f>IF(FN_MC!W86="","*",FN_MC!W86)</f>
        <v>*</v>
      </c>
      <c r="U85" s="98" t="str">
        <f ca="1">_xlfn.XLOOKUP(G85&amp;$U$3,BS_CONTROLE[CHAVE],BS_CONTROLE[Quantidade_11],"-")</f>
        <v>-</v>
      </c>
      <c r="V85" s="98" t="str">
        <f ca="1">_xlfn.XLOOKUP(G85&amp;$V$3,BS_CONTROLE[CHAVE],BS_CONTROLE[Quantidade_11],"-")</f>
        <v>-</v>
      </c>
      <c r="W85" s="98" t="str">
        <f ca="1">_xlfn.XLOOKUP(G85&amp;$W$3,BS_CONTROLE[CHAVE],BS_CONTROLE[Quantidade_11],"-")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IF(FN_MC!Y87="","*",FN_MC!Y87)</f>
        <v>OPORTUNIDADE</v>
      </c>
      <c r="B86" s="95" t="str">
        <f>IF(FN_MC!X87="","*",FN_MC!X87)</f>
        <v>Oportunidade</v>
      </c>
      <c r="C86" s="95" t="str">
        <f>IF(FN_MC!Z87="","*",FN_MC!Z87)</f>
        <v>*</v>
      </c>
      <c r="D86" s="96" t="str">
        <f>IF(FN_MC!S87="","*",FN_MC!S87)</f>
        <v>FERRONORTE</v>
      </c>
      <c r="E86" s="96" t="str">
        <f>IF(FN_MC!T87="","*",FN_MC!T87)</f>
        <v>TGR-TRO</v>
      </c>
      <c r="F86" s="96">
        <f>IF(FN_MC!B87="","*",FN_MC!B87)</f>
        <v>46063</v>
      </c>
      <c r="G86" s="96" t="str">
        <f>IF(FN_MC!D87="","*",FN_MC!D87)</f>
        <v>BRUNO (TF-525)</v>
      </c>
      <c r="H86" s="96" t="str">
        <f>IF(FN_MC!F87="","*",FN_MC!F87)</f>
        <v>PDM - SOLDA</v>
      </c>
      <c r="I86" s="96" t="str">
        <f>IF(FN_MC!H87="","*",FN_MC!H87)</f>
        <v>TRM</v>
      </c>
      <c r="J86" s="96" t="str">
        <f>IF(FN_MC!I87="","*",FN_MC!I87)</f>
        <v>-</v>
      </c>
      <c r="K86" s="96" t="str">
        <f>IF(FN_MC!M87="","*",FN_MC!M87)</f>
        <v>TRM</v>
      </c>
      <c r="L86" s="196" t="str">
        <f>IF(FN_MC!N87="","*",FN_MC!N87)</f>
        <v>TRMS</v>
      </c>
      <c r="M86" s="97">
        <f>IF(FN_MC!J87="","*",FN_MC!J87)</f>
        <v>98</v>
      </c>
      <c r="N86" s="183">
        <f>IF(FN_MC!K87="","*",FN_MC!K87)</f>
        <v>548.16</v>
      </c>
      <c r="O86" s="183" t="str">
        <f>IF(FN_MC!L87="","*",FN_MC!L87)</f>
        <v>-</v>
      </c>
      <c r="P86" s="107">
        <f>IF(FN_MC!O87="","*",FN_MC!O87)</f>
        <v>0.375</v>
      </c>
      <c r="Q86" s="107">
        <f>IF(FN_MC!P87="","*",FN_MC!P87)</f>
        <v>6.25E-2</v>
      </c>
      <c r="R86" s="96" t="str">
        <f>IF(FN_MC!Q87="","*",CONCATENATE(FN_MC!Q87," ",FN_MC!R87))</f>
        <v>1 Nº DE SOLDA</v>
      </c>
      <c r="S86" s="96" t="str">
        <f>IF(FN_MC!V87="","*",FN_MC!V87)</f>
        <v>Bruno</v>
      </c>
      <c r="T86" s="232" t="str">
        <f>IF(FN_MC!W87="","*",FN_MC!W87)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IF(FN_MC!Y88="","*",FN_MC!Y88)</f>
        <v>SIM</v>
      </c>
      <c r="B87" s="95" t="str">
        <f>IF(FN_MC!X88="","*",FN_MC!X88)</f>
        <v>Contrato</v>
      </c>
      <c r="C87" s="95" t="str">
        <f>IF(FN_MC!Z88="","*",FN_MC!Z88)</f>
        <v>*</v>
      </c>
      <c r="D87" s="96" t="str">
        <f>IF(FN_MC!S88="","*",FN_MC!S88)</f>
        <v>FERRONORTE</v>
      </c>
      <c r="E87" s="96" t="str">
        <f>IF(FN_MC!T88="","*",FN_MC!T88)</f>
        <v>TCS-TGR</v>
      </c>
      <c r="F87" s="96">
        <f>IF(FN_MC!B88="","*",FN_MC!B88)</f>
        <v>46063</v>
      </c>
      <c r="G87" s="96" t="str">
        <f>IF(FN_MC!D88="","*",FN_MC!D88)</f>
        <v>ELSON (TF-526)</v>
      </c>
      <c r="H87" s="96" t="str">
        <f>IF(FN_MC!F88="","*",FN_MC!F88)</f>
        <v>PDM - SOLDA</v>
      </c>
      <c r="I87" s="96" t="str">
        <f>IF(FN_MC!H88="","*",FN_MC!H88)</f>
        <v>TPC440</v>
      </c>
      <c r="J87" s="96" t="str">
        <f>IF(FN_MC!I88="","*",FN_MC!I88)</f>
        <v>-</v>
      </c>
      <c r="K87" s="96" t="str">
        <f>IF(FN_MC!M88="","*",FN_MC!M88)</f>
        <v>TPC-TVL</v>
      </c>
      <c r="L87" s="196" t="str">
        <f>IF(FN_MC!N88="","*",FN_MC!N88)</f>
        <v>TPC440</v>
      </c>
      <c r="M87" s="97">
        <f>IF(FN_MC!J88="","*",FN_MC!J88)</f>
        <v>74</v>
      </c>
      <c r="N87" s="183">
        <f>IF(FN_MC!K88="","*",FN_MC!K88)</f>
        <v>430.26799999999997</v>
      </c>
      <c r="O87" s="183" t="str">
        <f>IF(FN_MC!L88="","*",FN_MC!L88)</f>
        <v>-</v>
      </c>
      <c r="P87" s="107">
        <f>IF(FN_MC!O88="","*",FN_MC!O88)</f>
        <v>0.375</v>
      </c>
      <c r="Q87" s="107">
        <f>IF(FN_MC!P88="","*",FN_MC!P88)</f>
        <v>0.125</v>
      </c>
      <c r="R87" s="96" t="str">
        <f>IF(FN_MC!Q88="","*",CONCATENATE(FN_MC!Q88," ",FN_MC!R88))</f>
        <v>2 Nº DE SOLDA</v>
      </c>
      <c r="S87" s="96" t="str">
        <f>IF(FN_MC!V88="","*",FN_MC!V88)</f>
        <v>Elson</v>
      </c>
      <c r="T87" s="232" t="str">
        <f>IF(FN_MC!W88="","*",FN_MC!W88)</f>
        <v xml:space="preserve">Execução de solda - Condicionado a temperatura </v>
      </c>
      <c r="U87" s="98">
        <f ca="1">_xlfn.XLOOKUP(G87&amp;$U$3,BS_CONTROLE[CHAVE],BS_CONTROLE[Quantidade_11],"-")</f>
        <v>0</v>
      </c>
      <c r="V87" s="98">
        <f ca="1">_xlfn.XLOOKUP(G87&amp;$V$3,BS_CONTROLE[CHAVE],BS_CONTROLE[Quantidade_11],"-")</f>
        <v>0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IF(FN_MC!Y89="","*",FN_MC!Y89)</f>
        <v>*</v>
      </c>
      <c r="B88" s="95" t="str">
        <f>IF(FN_MC!X89="","*",FN_MC!X89)</f>
        <v>*</v>
      </c>
      <c r="C88" s="95" t="str">
        <f>IF(FN_MC!Z89="","*",FN_MC!Z89)</f>
        <v>*</v>
      </c>
      <c r="D88" s="96" t="str">
        <f>IF(FN_MC!S89="","*",FN_MC!S89)</f>
        <v>-</v>
      </c>
      <c r="E88" s="96" t="str">
        <f>IF(FN_MC!T89="","*",FN_MC!T89)</f>
        <v>-</v>
      </c>
      <c r="F88" s="96" t="str">
        <f>IF(FN_MC!B89="","*",FN_MC!B89)</f>
        <v>*</v>
      </c>
      <c r="G88" s="96" t="str">
        <f>IF(FN_MC!D89="","*",FN_MC!D89)</f>
        <v>*</v>
      </c>
      <c r="H88" s="96" t="str">
        <f>IF(FN_MC!F89="","*",FN_MC!F89)</f>
        <v>*</v>
      </c>
      <c r="I88" s="96" t="str">
        <f>IF(FN_MC!H89="","*",FN_MC!H89)</f>
        <v>*</v>
      </c>
      <c r="J88" s="96" t="str">
        <f>IF(FN_MC!I89="","*",FN_MC!I89)</f>
        <v>*</v>
      </c>
      <c r="K88" s="96" t="str">
        <f>IF(FN_MC!M89="","*",FN_MC!M89)</f>
        <v>-</v>
      </c>
      <c r="L88" s="196" t="str">
        <f>IF(FN_MC!N89="","*",FN_MC!N89)</f>
        <v>-</v>
      </c>
      <c r="M88" s="97" t="str">
        <f>IF(FN_MC!J89="","*",FN_MC!J89)</f>
        <v>*</v>
      </c>
      <c r="N88" s="183" t="str">
        <f>IF(FN_MC!K89="","*",FN_MC!K89)</f>
        <v>*</v>
      </c>
      <c r="O88" s="183" t="str">
        <f>IF(FN_MC!L89="","*",FN_MC!L89)</f>
        <v>-</v>
      </c>
      <c r="P88" s="107" t="str">
        <f>IF(FN_MC!O89="","*",FN_MC!O89)</f>
        <v>*</v>
      </c>
      <c r="Q88" s="107" t="str">
        <f>IF(FN_MC!P89="","*",FN_MC!P89)</f>
        <v>*</v>
      </c>
      <c r="R88" s="96" t="str">
        <f>IF(FN_MC!Q89="","*",CONCATENATE(FN_MC!Q89," ",FN_MC!R89))</f>
        <v>*</v>
      </c>
      <c r="S88" s="96" t="str">
        <f>IF(FN_MC!V89="","*",FN_MC!V89)</f>
        <v>*</v>
      </c>
      <c r="T88" s="96" t="str">
        <f>IF(FN_MC!W89="","*",FN_MC!W89)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IF(FN_MC!Y90="","*",FN_MC!Y90)</f>
        <v>*</v>
      </c>
      <c r="B89" s="95" t="str">
        <f>IF(FN_MC!X90="","*",FN_MC!X90)</f>
        <v>*</v>
      </c>
      <c r="C89" s="95" t="str">
        <f>IF(FN_MC!Z90="","*",FN_MC!Z90)</f>
        <v>*</v>
      </c>
      <c r="D89" s="96" t="str">
        <f>IF(FN_MC!S90="","*",FN_MC!S90)</f>
        <v>-</v>
      </c>
      <c r="E89" s="96" t="str">
        <f>IF(FN_MC!T90="","*",FN_MC!T90)</f>
        <v>-</v>
      </c>
      <c r="F89" s="96" t="str">
        <f>IF(FN_MC!B90="","*",FN_MC!B90)</f>
        <v>*</v>
      </c>
      <c r="G89" s="96" t="str">
        <f>IF(FN_MC!D90="","*",FN_MC!D90)</f>
        <v>*</v>
      </c>
      <c r="H89" s="96" t="str">
        <f>IF(FN_MC!F90="","*",FN_MC!F90)</f>
        <v>*</v>
      </c>
      <c r="I89" s="96" t="str">
        <f>IF(FN_MC!H90="","*",FN_MC!H90)</f>
        <v>*</v>
      </c>
      <c r="J89" s="96" t="str">
        <f>IF(FN_MC!I90="","*",FN_MC!I90)</f>
        <v>*</v>
      </c>
      <c r="K89" s="96" t="str">
        <f>IF(FN_MC!M90="","*",FN_MC!M90)</f>
        <v>-</v>
      </c>
      <c r="L89" s="196" t="str">
        <f>IF(FN_MC!N90="","*",FN_MC!N90)</f>
        <v>-</v>
      </c>
      <c r="M89" s="97" t="str">
        <f>IF(FN_MC!J90="","*",FN_MC!J90)</f>
        <v>*</v>
      </c>
      <c r="N89" s="183" t="str">
        <f>IF(FN_MC!K90="","*",FN_MC!K90)</f>
        <v>*</v>
      </c>
      <c r="O89" s="183" t="str">
        <f>IF(FN_MC!L90="","*",FN_MC!L90)</f>
        <v>-</v>
      </c>
      <c r="P89" s="107" t="str">
        <f>IF(FN_MC!O90="","*",FN_MC!O90)</f>
        <v>*</v>
      </c>
      <c r="Q89" s="107" t="str">
        <f>IF(FN_MC!P90="","*",FN_MC!P90)</f>
        <v>*</v>
      </c>
      <c r="R89" s="96" t="str">
        <f>IF(FN_MC!Q90="","*",CONCATENATE(FN_MC!Q90," ",FN_MC!R90))</f>
        <v>*</v>
      </c>
      <c r="S89" s="96" t="str">
        <f>IF(FN_MC!V90="","*",FN_MC!V90)</f>
        <v>*</v>
      </c>
      <c r="T89" s="96" t="str">
        <f>IF(FN_MC!W90="","*",FN_MC!W90)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IF(FN_MC!Y91="","*",FN_MC!Y91)</f>
        <v>*</v>
      </c>
      <c r="B90" s="95" t="str">
        <f>IF(FN_MC!X91="","*",FN_MC!X91)</f>
        <v>*</v>
      </c>
      <c r="C90" s="95" t="str">
        <f>IF(FN_MC!Z91="","*",FN_MC!Z91)</f>
        <v>*</v>
      </c>
      <c r="D90" s="96" t="str">
        <f>IF(FN_MC!S91="","*",FN_MC!S91)</f>
        <v>-</v>
      </c>
      <c r="E90" s="96" t="str">
        <f>IF(FN_MC!T91="","*",FN_MC!T91)</f>
        <v>-</v>
      </c>
      <c r="F90" s="96" t="str">
        <f>IF(FN_MC!B91="","*",FN_MC!B91)</f>
        <v>*</v>
      </c>
      <c r="G90" s="96" t="str">
        <f>IF(FN_MC!D91="","*",FN_MC!D91)</f>
        <v>*</v>
      </c>
      <c r="H90" s="96" t="str">
        <f>IF(FN_MC!F91="","*",FN_MC!F91)</f>
        <v>*</v>
      </c>
      <c r="I90" s="96" t="str">
        <f>IF(FN_MC!H91="","*",FN_MC!H91)</f>
        <v>*</v>
      </c>
      <c r="J90" s="96" t="str">
        <f>IF(FN_MC!I91="","*",FN_MC!I91)</f>
        <v>*</v>
      </c>
      <c r="K90" s="96" t="str">
        <f>IF(FN_MC!M91="","*",FN_MC!M91)</f>
        <v>-</v>
      </c>
      <c r="L90" s="196" t="str">
        <f>IF(FN_MC!N91="","*",FN_MC!N91)</f>
        <v>-</v>
      </c>
      <c r="M90" s="97" t="str">
        <f>IF(FN_MC!J91="","*",FN_MC!J91)</f>
        <v>*</v>
      </c>
      <c r="N90" s="183" t="str">
        <f>IF(FN_MC!K91="","*",FN_MC!K91)</f>
        <v>*</v>
      </c>
      <c r="O90" s="183" t="str">
        <f>IF(FN_MC!L91="","*",FN_MC!L91)</f>
        <v>-</v>
      </c>
      <c r="P90" s="107" t="str">
        <f>IF(FN_MC!O91="","*",FN_MC!O91)</f>
        <v>*</v>
      </c>
      <c r="Q90" s="107" t="str">
        <f>IF(FN_MC!P91="","*",FN_MC!P91)</f>
        <v>*</v>
      </c>
      <c r="R90" s="96" t="str">
        <f>IF(FN_MC!Q91="","*",CONCATENATE(FN_MC!Q91," ",FN_MC!R91))</f>
        <v>*</v>
      </c>
      <c r="S90" s="96" t="str">
        <f>IF(FN_MC!V91="","*",FN_MC!V91)</f>
        <v>*</v>
      </c>
      <c r="T90" s="96" t="str">
        <f>IF(FN_MC!W91="","*",FN_MC!W91)</f>
        <v>*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IF(FN_MC!Y92="","*",FN_MC!Y92)</f>
        <v>SIM</v>
      </c>
      <c r="B91" s="95" t="str">
        <f>IF(FN_MC!X92="","*",FN_MC!X92)</f>
        <v>Contrato</v>
      </c>
      <c r="C91" s="95" t="str">
        <f>IF(FN_MC!Z92="","*",FN_MC!Z92)</f>
        <v>*</v>
      </c>
      <c r="D91" s="96" t="str">
        <f>IF(FN_MC!S92="","*",FN_MC!S92)</f>
        <v>FERRONORTE</v>
      </c>
      <c r="E91" s="96" t="str">
        <f>IF(FN_MC!T92="","*",FN_MC!T92)</f>
        <v>TMI-TCS</v>
      </c>
      <c r="F91" s="96">
        <f>IF(FN_MC!B92="","*",FN_MC!B92)</f>
        <v>46063</v>
      </c>
      <c r="G91" s="96" t="str">
        <f>IF(FN_MC!D92="","*",FN_MC!D92)</f>
        <v>W50</v>
      </c>
      <c r="H91" s="96" t="str">
        <f>IF(FN_MC!F92="","*",FN_MC!F92)</f>
        <v>MODERNIZAÇÃO - DESCARGA - TRILHO</v>
      </c>
      <c r="I91" s="96" t="str">
        <f>IF(FN_MC!H92="","*",FN_MC!H92)</f>
        <v>TCS</v>
      </c>
      <c r="J91" s="96" t="str">
        <f>IF(FN_MC!I92="","*",FN_MC!I92)</f>
        <v>TCS2</v>
      </c>
      <c r="K91" s="96" t="str">
        <f>IF(FN_MC!M92="","*",FN_MC!M92)</f>
        <v>TVI-TJA</v>
      </c>
      <c r="L91" s="196" t="str">
        <f>IF(FN_MC!N92="","*",FN_MC!N92)</f>
        <v>251TJA</v>
      </c>
      <c r="M91" s="97">
        <f>IF(FN_MC!J92="","*",FN_MC!J92)</f>
        <v>74</v>
      </c>
      <c r="N91" s="183">
        <f>IF(FN_MC!K92="","*",FN_MC!K92)</f>
        <v>260</v>
      </c>
      <c r="O91" s="183">
        <f>IF(FN_MC!L92="","*",FN_MC!L92)</f>
        <v>210</v>
      </c>
      <c r="P91" s="107">
        <f>IF(FN_MC!O92="","*",FN_MC!O92)</f>
        <v>0.35416666666666669</v>
      </c>
      <c r="Q91" s="107">
        <f>IF(FN_MC!P92="","*",FN_MC!P92)</f>
        <v>0.16666666666666666</v>
      </c>
      <c r="R91" s="96" t="str">
        <f>IF(FN_MC!Q92="","*",CONCATENATE(FN_MC!Q92," ",FN_MC!R92))</f>
        <v>4 Nº DE BARRAS</v>
      </c>
      <c r="S91" s="96" t="str">
        <f>IF(FN_MC!V92="","*",FN_MC!V92)</f>
        <v>Augusto/ Efraim</v>
      </c>
      <c r="T91" s="232" t="str">
        <f>IF(FN_MC!W92="","*",FN_MC!W92)</f>
        <v>Descarga de 4 barras e RECOLHA DE DORMENTES</v>
      </c>
      <c r="U91" s="98">
        <f ca="1">_xlfn.XLOOKUP(G91&amp;$U$3,BS_CONTROLE[CHAVE],BS_CONTROLE[Quantidade_11],"-")</f>
        <v>4</v>
      </c>
      <c r="V91" s="98">
        <f ca="1">_xlfn.XLOOKUP(G91&amp;$V$3,BS_CONTROLE[CHAVE],BS_CONTROLE[Quantidade_11],"-")</f>
        <v>0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IF(FN_MC!Y93="","*",FN_MC!Y93)</f>
        <v>*</v>
      </c>
      <c r="B92" s="95" t="str">
        <f>IF(FN_MC!X93="","*",FN_MC!X93)</f>
        <v>*</v>
      </c>
      <c r="C92" s="95" t="str">
        <f>IF(FN_MC!Z93="","*",FN_MC!Z93)</f>
        <v>*</v>
      </c>
      <c r="D92" s="96" t="str">
        <f>IF(FN_MC!S93="","*",FN_MC!S93)</f>
        <v>-</v>
      </c>
      <c r="E92" s="96" t="str">
        <f>IF(FN_MC!T93="","*",FN_MC!T93)</f>
        <v>-</v>
      </c>
      <c r="F92" s="96" t="str">
        <f>IF(FN_MC!B93="","*",FN_MC!B93)</f>
        <v>*</v>
      </c>
      <c r="G92" s="96" t="str">
        <f>IF(FN_MC!D93="","*",FN_MC!D93)</f>
        <v>*</v>
      </c>
      <c r="H92" s="96" t="str">
        <f>IF(FN_MC!F93="","*",FN_MC!F93)</f>
        <v>*</v>
      </c>
      <c r="I92" s="96" t="str">
        <f>IF(FN_MC!H93="","*",FN_MC!H93)</f>
        <v>*</v>
      </c>
      <c r="J92" s="96" t="str">
        <f>IF(FN_MC!I93="","*",FN_MC!I93)</f>
        <v>*</v>
      </c>
      <c r="K92" s="96" t="str">
        <f>IF(FN_MC!M93="","*",FN_MC!M93)</f>
        <v>-</v>
      </c>
      <c r="L92" s="196" t="str">
        <f>IF(FN_MC!N93="","*",FN_MC!N93)</f>
        <v>-</v>
      </c>
      <c r="M92" s="97" t="str">
        <f>IF(FN_MC!J93="","*",FN_MC!J93)</f>
        <v>*</v>
      </c>
      <c r="N92" s="183" t="str">
        <f>IF(FN_MC!K93="","*",FN_MC!K93)</f>
        <v>*</v>
      </c>
      <c r="O92" s="183" t="str">
        <f>IF(FN_MC!L93="","*",FN_MC!L93)</f>
        <v>-</v>
      </c>
      <c r="P92" s="107" t="str">
        <f>IF(FN_MC!O93="","*",FN_MC!O93)</f>
        <v>*</v>
      </c>
      <c r="Q92" s="107" t="str">
        <f>IF(FN_MC!P93="","*",FN_MC!P93)</f>
        <v>*</v>
      </c>
      <c r="R92" s="96" t="str">
        <f>IF(FN_MC!Q93="","*",CONCATENATE(FN_MC!Q93," ",FN_MC!R93))</f>
        <v>*</v>
      </c>
      <c r="S92" s="96" t="str">
        <f>IF(FN_MC!V93="","*",FN_MC!V93)</f>
        <v>*</v>
      </c>
      <c r="T92" s="96" t="str">
        <f>IF(FN_MC!W93="","*",FN_MC!W93)</f>
        <v>*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IF(FN_MC!Y94="","*",FN_MC!Y94)</f>
        <v>OPORTUNIDADE</v>
      </c>
      <c r="B93" s="95" t="str">
        <f>IF(FN_MC!X94="","*",FN_MC!X94)</f>
        <v>Oportunidade</v>
      </c>
      <c r="C93" s="95" t="str">
        <f>IF(FN_MC!Z94="","*",FN_MC!Z94)</f>
        <v>*</v>
      </c>
      <c r="D93" s="96" t="str">
        <f>IF(FN_MC!S94="","*",FN_MC!S94)</f>
        <v>FERRONORTE</v>
      </c>
      <c r="E93" s="96" t="str">
        <f>IF(FN_MC!T94="","*",FN_MC!T94)</f>
        <v>TMI-TCS</v>
      </c>
      <c r="F93" s="96">
        <f>IF(FN_MC!B94="","*",FN_MC!B94)</f>
        <v>46063</v>
      </c>
      <c r="G93" s="96" t="str">
        <f>IF(FN_MC!D94="","*",FN_MC!D94)</f>
        <v>V66</v>
      </c>
      <c r="H93" s="96" t="str">
        <f>IF(FN_MC!F94="","*",FN_MC!F94)</f>
        <v>MECANIZAÇÃO - SOCADORA</v>
      </c>
      <c r="I93" s="96" t="str">
        <f>IF(FN_MC!H94="","*",FN_MC!H94)</f>
        <v>TID2</v>
      </c>
      <c r="J93" s="96" t="str">
        <f>IF(FN_MC!I94="","*",FN_MC!I94)</f>
        <v>TID2</v>
      </c>
      <c r="K93" s="96" t="str">
        <f>IF(FN_MC!M94="","*",FN_MC!M94)</f>
        <v>TCE-TID</v>
      </c>
      <c r="L93" s="196" t="str">
        <f>IF(FN_MC!N94="","*",FN_MC!N94)</f>
        <v>TCE177</v>
      </c>
      <c r="M93" s="97">
        <f>IF(FN_MC!J94="","*",FN_MC!J94)</f>
        <v>74</v>
      </c>
      <c r="N93" s="183">
        <f>IF(FN_MC!K94="","*",FN_MC!K94)</f>
        <v>172</v>
      </c>
      <c r="O93" s="183">
        <f>IF(FN_MC!L94="","*",FN_MC!L94)</f>
        <v>173.5</v>
      </c>
      <c r="P93" s="107">
        <f>IF(FN_MC!O94="","*",FN_MC!O94)</f>
        <v>0.39583333333333331</v>
      </c>
      <c r="Q93" s="107">
        <f>IF(FN_MC!P94="","*",FN_MC!P94)</f>
        <v>6.25E-2</v>
      </c>
      <c r="R93" s="96" t="str">
        <f>IF(FN_MC!Q94="","*",CONCATENATE(FN_MC!Q94," ",FN_MC!R94))</f>
        <v>500 M</v>
      </c>
      <c r="S93" s="96" t="str">
        <f>IF(FN_MC!V94="","*",FN_MC!V94)</f>
        <v>Augusto/ Efraim</v>
      </c>
      <c r="T93" s="232" t="str">
        <f>IF(FN_MC!W94="","*",FN_MC!W94)</f>
        <v>Regulagem de brita</v>
      </c>
      <c r="U93" s="98">
        <f ca="1">_xlfn.XLOOKUP(G93&amp;$U$3,BS_CONTROLE[CHAVE],BS_CONTROLE[Quantidade_11],"-")</f>
        <v>1000</v>
      </c>
      <c r="V93" s="98">
        <f ca="1">_xlfn.XLOOKUP(G93&amp;$V$3,BS_CONTROLE[CHAVE],BS_CONTROLE[Quantidade_11],"-")</f>
        <v>0</v>
      </c>
      <c r="W93" s="98">
        <f ca="1">_xlfn.XLOOKUP(G93&amp;$W$3,BS_CONTROLE[CHAVE],BS_CONTROLE[Quantidade_11],"-")</f>
        <v>1000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IF(FN_MC!Y95="","*",FN_MC!Y95)</f>
        <v>*</v>
      </c>
      <c r="B94" s="95" t="str">
        <f>IF(FN_MC!X95="","*",FN_MC!X95)</f>
        <v>*</v>
      </c>
      <c r="C94" s="95" t="str">
        <f>IF(FN_MC!Z95="","*",FN_MC!Z95)</f>
        <v>*</v>
      </c>
      <c r="D94" s="96" t="str">
        <f>IF(FN_MC!S95="","*",FN_MC!S95)</f>
        <v>-</v>
      </c>
      <c r="E94" s="96" t="str">
        <f>IF(FN_MC!T95="","*",FN_MC!T95)</f>
        <v>-</v>
      </c>
      <c r="F94" s="96" t="str">
        <f>IF(FN_MC!B95="","*",FN_MC!B95)</f>
        <v>*</v>
      </c>
      <c r="G94" s="96" t="str">
        <f>IF(FN_MC!D95="","*",FN_MC!D95)</f>
        <v>*</v>
      </c>
      <c r="H94" s="96" t="str">
        <f>IF(FN_MC!F95="","*",FN_MC!F95)</f>
        <v>*</v>
      </c>
      <c r="I94" s="96" t="str">
        <f>IF(FN_MC!H95="","*",FN_MC!H95)</f>
        <v>*</v>
      </c>
      <c r="J94" s="96" t="str">
        <f>IF(FN_MC!I95="","*",FN_MC!I95)</f>
        <v>*</v>
      </c>
      <c r="K94" s="96" t="str">
        <f>IF(FN_MC!M95="","*",FN_MC!M95)</f>
        <v>-</v>
      </c>
      <c r="L94" s="196" t="str">
        <f>IF(FN_MC!N95="","*",FN_MC!N95)</f>
        <v>-</v>
      </c>
      <c r="M94" s="97" t="str">
        <f>IF(FN_MC!J95="","*",FN_MC!J95)</f>
        <v>*</v>
      </c>
      <c r="N94" s="183" t="str">
        <f>IF(FN_MC!K95="","*",FN_MC!K95)</f>
        <v>*</v>
      </c>
      <c r="O94" s="183" t="str">
        <f>IF(FN_MC!L95="","*",FN_MC!L95)</f>
        <v>-</v>
      </c>
      <c r="P94" s="107" t="str">
        <f>IF(FN_MC!O95="","*",FN_MC!O95)</f>
        <v>*</v>
      </c>
      <c r="Q94" s="107" t="str">
        <f>IF(FN_MC!P95="","*",FN_MC!P95)</f>
        <v>*</v>
      </c>
      <c r="R94" s="96" t="str">
        <f>IF(FN_MC!Q95="","*",CONCATENATE(FN_MC!Q95," ",FN_MC!R95))</f>
        <v>*</v>
      </c>
      <c r="S94" s="96" t="str">
        <f>IF(FN_MC!V95="","*",FN_MC!V95)</f>
        <v>*</v>
      </c>
      <c r="T94" s="96" t="str">
        <f>IF(FN_MC!W95="","*",FN_MC!W95)</f>
        <v>*</v>
      </c>
      <c r="U94" s="98" t="str">
        <f ca="1">_xlfn.XLOOKUP(G94&amp;$U$3,BS_CONTROLE[CHAVE],BS_CONTROLE[Quantidade_11],"-")</f>
        <v>-</v>
      </c>
      <c r="V94" s="98" t="str">
        <f ca="1">_xlfn.XLOOKUP(G94&amp;$V$3,BS_CONTROLE[CHAVE],BS_CONTROLE[Quantidade_11],"-")</f>
        <v>-</v>
      </c>
      <c r="W94" s="98" t="str">
        <f ca="1">_xlfn.XLOOKUP(G94&amp;$W$3,BS_CONTROLE[CHAVE],BS_CONTROLE[Quantidade_11],"-")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IF(FN_MC!Y96="","*",FN_MC!Y96)</f>
        <v>OPORTUNIDADE</v>
      </c>
      <c r="B95" s="95" t="str">
        <f>IF(FN_MC!X96="","*",FN_MC!X96)</f>
        <v>Oportunidade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46063</v>
      </c>
      <c r="G95" s="96" t="str">
        <f>IF(FN_MC!D96="","*",FN_MC!D96)</f>
        <v>MARCOS (TF-520)</v>
      </c>
      <c r="H95" s="96" t="str">
        <f>IF(FN_MC!F96="","*",FN_MC!F96)</f>
        <v>PDM - SOLDA</v>
      </c>
      <c r="I95" s="96" t="str">
        <f>IF(FN_MC!H96="","*",FN_MC!H96)</f>
        <v>K52TQI</v>
      </c>
      <c r="J95" s="96" t="str">
        <f>IF(FN_MC!I96="","*",FN_MC!I96)</f>
        <v>-</v>
      </c>
      <c r="K95" s="96" t="str">
        <f>IF(FN_MC!M96="","*",FN_MC!M96)</f>
        <v>TLG-TQI</v>
      </c>
      <c r="L95" s="196" t="str">
        <f>IF(FN_MC!N96="","*",FN_MC!N96)</f>
        <v>K52TQI</v>
      </c>
      <c r="M95" s="97">
        <f>IF(FN_MC!J96="","*",FN_MC!J96)</f>
        <v>74</v>
      </c>
      <c r="N95" s="183">
        <f>IF(FN_MC!K96="","*",FN_MC!K96)</f>
        <v>54.53</v>
      </c>
      <c r="O95" s="183" t="str">
        <f>IF(FN_MC!L96="","*",FN_MC!L96)</f>
        <v>-</v>
      </c>
      <c r="P95" s="107">
        <f>IF(FN_MC!O96="","*",FN_MC!O96)</f>
        <v>0.375</v>
      </c>
      <c r="Q95" s="107">
        <f>IF(FN_MC!P96="","*",FN_MC!P96)</f>
        <v>0.125</v>
      </c>
      <c r="R95" s="96" t="str">
        <f>IF(FN_MC!Q96="","*",CONCATENATE(FN_MC!Q96," ",FN_MC!R96))</f>
        <v>2 Nº DE SOLDA</v>
      </c>
      <c r="S95" s="96" t="str">
        <f>IF(FN_MC!V96="","*",FN_MC!V96)</f>
        <v>Marcos Euzebio</v>
      </c>
      <c r="T95" s="232" t="str">
        <f>IF(FN_MC!W96="","*",FN_MC!W96)</f>
        <v xml:space="preserve">Execução de solda - Condicionado a temperatura </v>
      </c>
      <c r="U95" s="98">
        <f ca="1">_xlfn.XLOOKUP(G95&amp;$U$3,BS_CONTROLE[CHAVE],BS_CONTROLE[Quantidade_11],"-")</f>
        <v>0</v>
      </c>
      <c r="V95" s="98">
        <f ca="1">_xlfn.XLOOKUP(G95&amp;$V$3,BS_CONTROLE[CHAVE],BS_CONTROLE[Quantidade_11],"-")</f>
        <v>0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46063</v>
      </c>
      <c r="G96" s="96" t="str">
        <f>IF(FN_MC!D97="","*",FN_MC!D97)</f>
        <v>E46</v>
      </c>
      <c r="H96" s="96" t="str">
        <f>IF(FN_MC!F97="","*",FN_MC!F97)</f>
        <v>TRILHEIRO - DESCARGA</v>
      </c>
      <c r="I96" s="96" t="str">
        <f>IF(FN_MC!H97="","*",FN_MC!H97)</f>
        <v>TIN</v>
      </c>
      <c r="J96" s="96" t="str">
        <f>IF(FN_MC!I97="","*",FN_MC!I97)</f>
        <v>-</v>
      </c>
      <c r="K96" s="96" t="str">
        <f>IF(FN_MC!M97="","*",FN_MC!M97)</f>
        <v>TAP-TLG</v>
      </c>
      <c r="L96" s="196" t="str">
        <f>IF(FN_MC!N97="","*",FN_MC!N97)</f>
        <v>TAPK35</v>
      </c>
      <c r="M96" s="97">
        <f>IF(FN_MC!J97="","*",FN_MC!J97)</f>
        <v>74</v>
      </c>
      <c r="N96" s="183">
        <f>IF(FN_MC!K97="","*",FN_MC!K97)</f>
        <v>26.8</v>
      </c>
      <c r="O96" s="183" t="str">
        <f>IF(FN_MC!L97="","*",FN_MC!L97)</f>
        <v>-</v>
      </c>
      <c r="P96" s="107">
        <f>IF(FN_MC!O97="","*",FN_MC!O97)</f>
        <v>0.41666666666666669</v>
      </c>
      <c r="Q96" s="107">
        <f>IF(FN_MC!P97="","*",FN_MC!P97)</f>
        <v>4.1666666666666664E-2</v>
      </c>
      <c r="R96" s="96" t="str">
        <f>IF(FN_MC!Q97="","*",CONCATENATE(FN_MC!Q97," ",FN_MC!R97))</f>
        <v>936 M</v>
      </c>
      <c r="S96" s="96" t="str">
        <f>IF(FN_MC!V97="","*",FN_MC!V97)</f>
        <v xml:space="preserve">PCM </v>
      </c>
      <c r="T96" s="232" t="str">
        <f>IF(FN_MC!W97="","*",FN_MC!W97)</f>
        <v xml:space="preserve">
45 min em TIN2 pra formar cobra cega
Descarga de 3 barras no equipamento 74/026819-027555cv</v>
      </c>
      <c r="U96" s="98">
        <f ca="1">_xlfn.XLOOKUP(G96&amp;$U$3,BS_CONTROLE[CHAVE],BS_CONTROLE[Quantidade_11],"-")</f>
        <v>936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46063</v>
      </c>
      <c r="G97" s="96" t="str">
        <f>IF(FN_MC!D98="","*",FN_MC!D98)</f>
        <v>A60</v>
      </c>
      <c r="H97" s="96" t="str">
        <f>IF(FN_MC!F98="","*",FN_MC!F98)</f>
        <v>DETECÇÃO - RONDA 7 DIAS</v>
      </c>
      <c r="I97" s="96" t="str">
        <f>IF(FN_MC!H98="","*",FN_MC!H98)</f>
        <v>TMI</v>
      </c>
      <c r="J97" s="96" t="str">
        <f>IF(FN_MC!I98="","*",FN_MC!I98)</f>
        <v>TIN1</v>
      </c>
      <c r="K97" s="96" t="str">
        <f>IF(FN_MC!M98="","*",FN_MC!M98)</f>
        <v>TMI-TRP</v>
      </c>
      <c r="L97" s="196" t="str">
        <f>IF(FN_MC!N98="","*",FN_MC!N98)</f>
        <v>TMITRP</v>
      </c>
      <c r="M97" s="97">
        <f>IF(FN_MC!J98="","*",FN_MC!J98)</f>
        <v>74</v>
      </c>
      <c r="N97" s="183">
        <f>IF(FN_MC!K98="","*",FN_MC!K98)</f>
        <v>1</v>
      </c>
      <c r="O97" s="183">
        <f>IF(FN_MC!L98="","*",FN_MC!L98)</f>
        <v>109</v>
      </c>
      <c r="P97" s="107">
        <f>IF(FN_MC!O98="","*",FN_MC!O98)</f>
        <v>0.33333333333333331</v>
      </c>
      <c r="Q97" s="107">
        <f>IF(FN_MC!P98="","*",FN_MC!P98)</f>
        <v>4.1666666666666664E-2</v>
      </c>
      <c r="R97" s="96" t="str">
        <f>IF(FN_MC!Q98="","*",CONCATENATE(FN_MC!Q98," ",FN_MC!R98))</f>
        <v>100 KM</v>
      </c>
      <c r="S97" s="96" t="str">
        <f>IF(FN_MC!V98="","*",FN_MC!V98)</f>
        <v>Herbert</v>
      </c>
      <c r="T97" s="232" t="str">
        <f>IF(FN_MC!W98="","*",FN_MC!W98)</f>
        <v>Ronda 7 dias</v>
      </c>
      <c r="U97" s="98">
        <f ca="1">_xlfn.XLOOKUP(G97&amp;$U$3,BS_CONTROLE[CHAVE],BS_CONTROLE[Quantidade_11],"-")</f>
        <v>100</v>
      </c>
      <c r="V97" s="98">
        <f ca="1">_xlfn.XLOOKUP(G97&amp;$V$3,BS_CONTROLE[CHAVE],BS_CONTROLE[Quantidade_11],"-")</f>
        <v>180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IF(FN_MC!Y99="","*",FN_MC!Y99)</f>
        <v>*</v>
      </c>
      <c r="B98" s="95" t="str">
        <f>IF(FN_MC!X99="","*",FN_MC!X99)</f>
        <v>Extra</v>
      </c>
      <c r="C98" s="95" t="str">
        <f>IF(FN_MC!Z99="","*",FN_MC!Z99)</f>
        <v>*</v>
      </c>
      <c r="D98" s="96" t="str">
        <f>IF(FN_MC!S99="","*",FN_MC!S99)</f>
        <v>MALHA CENTRAL</v>
      </c>
      <c r="E98" s="96" t="str">
        <f>IF(FN_MC!T99="","*",FN_MC!T99)</f>
        <v>PPN-POV</v>
      </c>
      <c r="F98" s="96">
        <f>IF(FN_MC!B99="","*",FN_MC!B99)</f>
        <v>46063</v>
      </c>
      <c r="G98" s="96" t="str">
        <f>IF(FN_MC!D99="","*",FN_MC!D99)</f>
        <v>CARLOS NEVES (TP-521)</v>
      </c>
      <c r="H98" s="96" t="str">
        <f>IF(FN_MC!F99="","*",FN_MC!F99)</f>
        <v>PDM - SOLDA</v>
      </c>
      <c r="I98" s="96" t="str">
        <f>IF(FN_MC!H99="","*",FN_MC!H99)</f>
        <v>-</v>
      </c>
      <c r="J98" s="96" t="str">
        <f>IF(FN_MC!I99="","*",FN_MC!I99)</f>
        <v>-</v>
      </c>
      <c r="K98" s="96" t="str">
        <f>IF(FN_MC!M99="","*",FN_MC!M99)</f>
        <v>PPO-PPP</v>
      </c>
      <c r="L98" s="196" t="str">
        <f>IF(FN_MC!N99="","*",FN_MC!N99)</f>
        <v>PPPPPO</v>
      </c>
      <c r="M98" s="97">
        <f>IF(FN_MC!J99="","*",FN_MC!J99)</f>
        <v>101</v>
      </c>
      <c r="N98" s="183">
        <f>IF(FN_MC!K99="","*",FN_MC!K99)</f>
        <v>1142.5999999999999</v>
      </c>
      <c r="O98" s="183">
        <f>IF(FN_MC!L99="","*",FN_MC!L99)</f>
        <v>1143</v>
      </c>
      <c r="P98" s="107">
        <f>IF(FN_MC!O99="","*",FN_MC!O99)</f>
        <v>0.29166666666666669</v>
      </c>
      <c r="Q98" s="107">
        <f>IF(FN_MC!P99="","*",FN_MC!P99)</f>
        <v>0.41666666666666669</v>
      </c>
      <c r="R98" s="96" t="str">
        <f>IF(FN_MC!Q99="","*",CONCATENATE(FN_MC!Q99," ",FN_MC!R99))</f>
        <v>2 Nº DE SOLDA</v>
      </c>
      <c r="S98" s="96" t="str">
        <f>IF(FN_MC!V99="","*",FN_MC!V99)</f>
        <v xml:space="preserve">Carlos </v>
      </c>
      <c r="T98" s="96" t="str">
        <f>IF(FN_MC!W99="","*",FN_MC!W99)</f>
        <v xml:space="preserve">Execução de solda - Condicionado a temperatura </v>
      </c>
      <c r="U98" s="98">
        <f ca="1">_xlfn.XLOOKUP(G98&amp;$U$3,BS_CONTROLE[CHAVE],BS_CONTROLE[Quantidade_11],"-")</f>
        <v>2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Extra</v>
      </c>
      <c r="C99" s="95" t="str">
        <f>IF(FN_MC!Z100="","*",FN_MC!Z100)</f>
        <v>*</v>
      </c>
      <c r="D99" s="96" t="str">
        <f>IF(FN_MC!S100="","*",FN_MC!S100)</f>
        <v>MALHA CENTRAL</v>
      </c>
      <c r="E99" s="96" t="str">
        <f>IF(FN_MC!T100="","*",FN_MC!T100)</f>
        <v>PRV-POV</v>
      </c>
      <c r="F99" s="96">
        <f>IF(FN_MC!B100="","*",FN_MC!B100)</f>
        <v>46063</v>
      </c>
      <c r="G99" s="96" t="str">
        <f>IF(FN_MC!D100="","*",FN_MC!D100)</f>
        <v>W94</v>
      </c>
      <c r="H99" s="96" t="str">
        <f>IF(FN_MC!F100="","*",FN_MC!F100)</f>
        <v>PDM - PEDRA - CARGA</v>
      </c>
      <c r="I99" s="96" t="str">
        <f>IF(FN_MC!H100="","*",FN_MC!H100)</f>
        <v>PPR1</v>
      </c>
      <c r="J99" s="96" t="str">
        <f>IF(FN_MC!I100="","*",FN_MC!I100)</f>
        <v>PIT1</v>
      </c>
      <c r="K99" s="96" t="str">
        <f>IF(FN_MC!M100="","*",FN_MC!M100)</f>
        <v>PPR-PSS</v>
      </c>
      <c r="L99" s="196" t="str">
        <f>IF(FN_MC!N100="","*",FN_MC!N100)</f>
        <v>K18PPR</v>
      </c>
      <c r="M99" s="97">
        <f>IF(FN_MC!J100="","*",FN_MC!J100)</f>
        <v>103</v>
      </c>
      <c r="N99" s="183">
        <f>IF(FN_MC!K100="","*",FN_MC!K100)</f>
        <v>1996.3</v>
      </c>
      <c r="O99" s="183" t="str">
        <f>IF(FN_MC!L100="","*",FN_MC!L100)</f>
        <v>-</v>
      </c>
      <c r="P99" s="107">
        <f>IF(FN_MC!O100="","*",FN_MC!O100)</f>
        <v>0.375</v>
      </c>
      <c r="Q99" s="107">
        <f>IF(FN_MC!P100="","*",FN_MC!P100)</f>
        <v>8.3333333333333329E-2</v>
      </c>
      <c r="R99" s="96" t="str">
        <f>IF(FN_MC!Q100="","*",CONCATENATE(FN_MC!Q100," ",FN_MC!R100))</f>
        <v>13 VAGÕES</v>
      </c>
      <c r="S99" s="96" t="str">
        <f>IF(FN_MC!V100="","*",FN_MC!V100)</f>
        <v xml:space="preserve">Lucas </v>
      </c>
      <c r="T99" s="96" t="str">
        <f>IF(FN_MC!W100="","*",FN_MC!W100)</f>
        <v xml:space="preserve">Carregamento de pedra </v>
      </c>
      <c r="U99" s="98">
        <f ca="1">_xlfn.XLOOKUP(G99&amp;$U$3,BS_CONTROLE[CHAVE],BS_CONTROLE[Quantidade_11],"-")</f>
        <v>13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IF(FN_MC!Y101="","*",FN_MC!Y101)</f>
        <v>SIM</v>
      </c>
      <c r="B100" s="95" t="str">
        <f>IF(FN_MC!X101="","*",FN_MC!X101)</f>
        <v>Contrato</v>
      </c>
      <c r="C100" s="95" t="str">
        <f>IF(FN_MC!Z101="","*",FN_MC!Z101)</f>
        <v>*</v>
      </c>
      <c r="D100" s="96" t="str">
        <f>IF(FN_MC!S101="","*",FN_MC!S101)</f>
        <v>FERRONORTE</v>
      </c>
      <c r="E100" s="96" t="str">
        <f>IF(FN_MC!T101="","*",FN_MC!T101)</f>
        <v>TGR-TRO</v>
      </c>
      <c r="F100" s="96">
        <f>IF(FN_MC!B101="","*",FN_MC!B101)</f>
        <v>46064</v>
      </c>
      <c r="G100" s="96" t="str">
        <f>IF(FN_MC!D101="","*",FN_MC!D101)</f>
        <v>V86</v>
      </c>
      <c r="H100" s="96" t="str">
        <f>IF(FN_MC!F101="","*",FN_MC!F101)</f>
        <v>MECANIZAÇÃO - SOCADORA</v>
      </c>
      <c r="I100" s="96" t="str">
        <f>IF(FN_MC!H101="","*",FN_MC!H101)</f>
        <v>TSF1</v>
      </c>
      <c r="J100" s="96" t="str">
        <f>IF(FN_MC!I101="","*",FN_MC!I101)</f>
        <v>TMJ1</v>
      </c>
      <c r="K100" s="96" t="str">
        <f>IF(FN_MC!M101="","*",FN_MC!M101)</f>
        <v>TBS-TAL</v>
      </c>
      <c r="L100" s="196" t="str">
        <f>IF(FN_MC!N101="","*",FN_MC!N101)</f>
        <v>TBS671</v>
      </c>
      <c r="M100" s="97">
        <f>IF(FN_MC!J101="","*",FN_MC!J101)</f>
        <v>98</v>
      </c>
      <c r="N100" s="183">
        <f>IF(FN_MC!K101="","*",FN_MC!K101)</f>
        <v>665.9</v>
      </c>
      <c r="O100" s="183">
        <f>IF(FN_MC!L101="","*",FN_MC!L101)</f>
        <v>664</v>
      </c>
      <c r="P100" s="107">
        <f>IF(FN_MC!O101="","*",FN_MC!O101)</f>
        <v>0.4375</v>
      </c>
      <c r="Q100" s="107">
        <f>IF(FN_MC!P101="","*",FN_MC!P101)</f>
        <v>0.125</v>
      </c>
      <c r="R100" s="96" t="str">
        <f>IF(FN_MC!Q101="","*",CONCATENATE(FN_MC!Q101," ",FN_MC!R101))</f>
        <v>1560 M</v>
      </c>
      <c r="S100" s="96" t="str">
        <f>IF(FN_MC!V101="","*",FN_MC!V101)</f>
        <v>Antonioni</v>
      </c>
      <c r="T100" s="96" t="str">
        <f>IF(FN_MC!W101="","*",FN_MC!W101)</f>
        <v>Socaria mecanizada</v>
      </c>
      <c r="U100" s="98">
        <f ca="1">_xlfn.XLOOKUP(G100&amp;$U$3,BS_CONTROLE[CHAVE],BS_CONTROLE[Quantidade_11],"-")</f>
        <v>4512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FERRONORTE</v>
      </c>
      <c r="E101" s="96" t="str">
        <f>IF(FN_MC!T102="","*",FN_MC!T102)</f>
        <v>TGR-TRO</v>
      </c>
      <c r="F101" s="96">
        <f>IF(FN_MC!B102="","*",FN_MC!B102)</f>
        <v>46064</v>
      </c>
      <c r="G101" s="96" t="str">
        <f>IF(FN_MC!D102="","*",FN_MC!D102)</f>
        <v>FRANCISCO (TF-19)</v>
      </c>
      <c r="H101" s="96" t="str">
        <f>IF(FN_MC!F102="","*",FN_MC!F102)</f>
        <v>PDM - SUBSTITUIÇÃO - TRILHO</v>
      </c>
      <c r="I101" s="96" t="str">
        <f>IF(FN_MC!H102="","*",FN_MC!H102)</f>
        <v>TEPPAT1</v>
      </c>
      <c r="J101" s="96" t="str">
        <f>IF(FN_MC!I102="","*",FN_MC!I102)</f>
        <v>-</v>
      </c>
      <c r="K101" s="96" t="str">
        <f>IF(FN_MC!M102="","*",FN_MC!M102)</f>
        <v>TEP-TMJ</v>
      </c>
      <c r="L101" s="196" t="str">
        <f>IF(FN_MC!N102="","*",FN_MC!N102)</f>
        <v>TEPPAT1</v>
      </c>
      <c r="M101" s="97">
        <f>IF(FN_MC!J102="","*",FN_MC!J102)</f>
        <v>98</v>
      </c>
      <c r="N101" s="183">
        <f>IF(FN_MC!K102="","*",FN_MC!K102)</f>
        <v>565</v>
      </c>
      <c r="O101" s="183" t="str">
        <f>IF(FN_MC!L102="","*",FN_MC!L102)</f>
        <v>-</v>
      </c>
      <c r="P101" s="107">
        <f>IF(FN_MC!O102="","*",FN_MC!O102)</f>
        <v>0.375</v>
      </c>
      <c r="Q101" s="107">
        <f>IF(FN_MC!P102="","*",FN_MC!P102)</f>
        <v>4.1666666666666664E-2</v>
      </c>
      <c r="R101" s="96" t="str">
        <f>IF(FN_MC!Q102="","*",CONCATENATE(FN_MC!Q102," ",FN_MC!R102))</f>
        <v>20 M</v>
      </c>
      <c r="S101" s="96" t="str">
        <f>IF(FN_MC!V102="","*",FN_MC!V102)</f>
        <v>Francisco</v>
      </c>
      <c r="T101" s="96" t="str">
        <f>IF(FN_MC!W102="","*",FN_MC!W102)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OPORTUNIDADE</v>
      </c>
      <c r="B102" s="95" t="str">
        <f>IF(FN_MC!X103="","*",FN_MC!X103)</f>
        <v>Oportunidade</v>
      </c>
      <c r="C102" s="95" t="str">
        <f>IF(FN_MC!Z103="","*",FN_MC!Z103)</f>
        <v>*</v>
      </c>
      <c r="D102" s="96" t="str">
        <f>IF(FN_MC!S103="","*",FN_MC!S103)</f>
        <v>FERRONORTE</v>
      </c>
      <c r="E102" s="96" t="str">
        <f>IF(FN_MC!T103="","*",FN_MC!T103)</f>
        <v>TGR-TRO</v>
      </c>
      <c r="F102" s="96">
        <f>IF(FN_MC!B103="","*",FN_MC!B103)</f>
        <v>46064</v>
      </c>
      <c r="G102" s="96" t="str">
        <f>IF(FN_MC!D103="","*",FN_MC!D103)</f>
        <v>BRUNO (TF-525)</v>
      </c>
      <c r="H102" s="96" t="str">
        <f>IF(FN_MC!F103="","*",FN_MC!F103)</f>
        <v>PDM - SOLDA</v>
      </c>
      <c r="I102" s="96" t="str">
        <f>IF(FN_MC!H103="","*",FN_MC!H103)</f>
        <v>TRM</v>
      </c>
      <c r="J102" s="96" t="str">
        <f>IF(FN_MC!I103="","*",FN_MC!I103)</f>
        <v>-</v>
      </c>
      <c r="K102" s="96" t="str">
        <f>IF(FN_MC!M103="","*",FN_MC!M103)</f>
        <v>TRM</v>
      </c>
      <c r="L102" s="196" t="str">
        <f>IF(FN_MC!N103="","*",FN_MC!N103)</f>
        <v>TRMS</v>
      </c>
      <c r="M102" s="97">
        <f>IF(FN_MC!J103="","*",FN_MC!J103)</f>
        <v>98</v>
      </c>
      <c r="N102" s="183">
        <f>IF(FN_MC!K103="","*",FN_MC!K103)</f>
        <v>548.16</v>
      </c>
      <c r="O102" s="183" t="str">
        <f>IF(FN_MC!L103="","*",FN_MC!L103)</f>
        <v>-</v>
      </c>
      <c r="P102" s="107">
        <f>IF(FN_MC!O103="","*",FN_MC!O103)</f>
        <v>0.33333333333333331</v>
      </c>
      <c r="Q102" s="107">
        <f>IF(FN_MC!P103="","*",FN_MC!P103)</f>
        <v>6.25E-2</v>
      </c>
      <c r="R102" s="96" t="str">
        <f>IF(FN_MC!Q103="","*",CONCATENATE(FN_MC!Q103," ",FN_MC!R103))</f>
        <v>1 Nº DE SOLDA</v>
      </c>
      <c r="S102" s="96" t="str">
        <f>IF(FN_MC!V103="","*",FN_MC!V103)</f>
        <v>Bruno</v>
      </c>
      <c r="T102" s="96" t="str">
        <f>IF(FN_MC!W103="","*",FN_MC!W103)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0</v>
      </c>
      <c r="W102" s="98" t="str">
        <f ca="1">_xlfn.XLOOKUP(G102&amp;$W$3,BS_CONTROLE[CHAVE],BS_CONTROLE[Quantidade_11],"-")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OPORTUNIDADE</v>
      </c>
      <c r="B103" s="95" t="str">
        <f>IF(FN_MC!X104="","*",FN_MC!X104)</f>
        <v>Oportunidade</v>
      </c>
      <c r="C103" s="95" t="str">
        <f>IF(FN_MC!Z104="","*",FN_MC!Z104)</f>
        <v>*</v>
      </c>
      <c r="D103" s="96" t="str">
        <f>IF(FN_MC!S104="","*",FN_MC!S104)</f>
        <v>FERRONORTE</v>
      </c>
      <c r="E103" s="96" t="str">
        <f>IF(FN_MC!T104="","*",FN_MC!T104)</f>
        <v>TGR-TRO</v>
      </c>
      <c r="F103" s="96">
        <f>IF(FN_MC!B104="","*",FN_MC!B104)</f>
        <v>46064</v>
      </c>
      <c r="G103" s="96" t="str">
        <f>IF(FN_MC!D104="","*",FN_MC!D104)</f>
        <v>W70</v>
      </c>
      <c r="H103" s="96" t="str">
        <f>IF(FN_MC!F104="","*",FN_MC!F104)</f>
        <v>DESLOCAMENTO</v>
      </c>
      <c r="I103" s="96" t="str">
        <f>IF(FN_MC!H104="","*",FN_MC!H104)</f>
        <v>TGR2</v>
      </c>
      <c r="J103" s="96" t="str">
        <f>IF(FN_MC!I104="","*",FN_MC!I104)</f>
        <v>TIQ2</v>
      </c>
      <c r="K103" s="96" t="str">
        <f>IF(FN_MC!M104="","*",FN_MC!M104)</f>
        <v>TGR-TIQ</v>
      </c>
      <c r="L103" s="196" t="str">
        <f>IF(FN_MC!N104="","*",FN_MC!N104)</f>
        <v>TGRTIQ</v>
      </c>
      <c r="M103" s="97">
        <f>IF(FN_MC!J104="","*",FN_MC!J104)</f>
        <v>98</v>
      </c>
      <c r="N103" s="183">
        <f>IF(FN_MC!K104="","*",FN_MC!K104)</f>
        <v>502</v>
      </c>
      <c r="O103" s="183" t="str">
        <f>IF(FN_MC!L104="","*",FN_MC!L104)</f>
        <v>-</v>
      </c>
      <c r="P103" s="107">
        <f>IF(FN_MC!O104="","*",FN_MC!O104)</f>
        <v>0.75</v>
      </c>
      <c r="Q103" s="107">
        <f>IF(FN_MC!P104="","*",FN_MC!P104)</f>
        <v>4.1666666666666664E-2</v>
      </c>
      <c r="R103" s="96" t="str">
        <f>IF(FN_MC!Q104="","*",CONCATENATE(FN_MC!Q104," ",FN_MC!R104))</f>
        <v>27 BINÁRIO</v>
      </c>
      <c r="S103" s="96" t="str">
        <f>IF(FN_MC!V104="","*",FN_MC!V104)</f>
        <v xml:space="preserve">Camila </v>
      </c>
      <c r="T103" s="96" t="str">
        <f>IF(FN_MC!W104="","*",FN_MC!W104)</f>
        <v xml:space="preserve">Deslocamento para TIQ </v>
      </c>
      <c r="U103" s="98">
        <f ca="1">_xlfn.XLOOKUP(G103&amp;$U$3,BS_CONTROLE[CHAVE],BS_CONTROLE[Quantidade_11],"-")</f>
        <v>27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SIM</v>
      </c>
      <c r="B104" s="95" t="str">
        <f>IF(FN_MC!X105="","*",FN_MC!X105)</f>
        <v>Contrato</v>
      </c>
      <c r="C104" s="95" t="str">
        <f>IF(FN_MC!Z105="","*",FN_MC!Z105)</f>
        <v>*</v>
      </c>
      <c r="D104" s="96" t="str">
        <f>IF(FN_MC!S105="","*",FN_MC!S105)</f>
        <v>FERRONORTE</v>
      </c>
      <c r="E104" s="96" t="str">
        <f>IF(FN_MC!T105="","*",FN_MC!T105)</f>
        <v>TCS-TGR</v>
      </c>
      <c r="F104" s="96">
        <f>IF(FN_MC!B105="","*",FN_MC!B105)</f>
        <v>46064</v>
      </c>
      <c r="G104" s="96" t="str">
        <f>IF(FN_MC!D105="","*",FN_MC!D105)</f>
        <v>ELSON (TF-526)</v>
      </c>
      <c r="H104" s="96" t="str">
        <f>IF(FN_MC!F105="","*",FN_MC!F105)</f>
        <v>PDM - SOLDA</v>
      </c>
      <c r="I104" s="96" t="str">
        <f>IF(FN_MC!H105="","*",FN_MC!H105)</f>
        <v>-</v>
      </c>
      <c r="J104" s="96" t="str">
        <f>IF(FN_MC!I105="","*",FN_MC!I105)</f>
        <v>-</v>
      </c>
      <c r="K104" s="96" t="str">
        <f>IF(FN_MC!M105="","*",FN_MC!M105)</f>
        <v>TPC-TVL</v>
      </c>
      <c r="L104" s="196" t="str">
        <f>IF(FN_MC!N105="","*",FN_MC!N105)</f>
        <v>TPC440</v>
      </c>
      <c r="M104" s="97">
        <f>IF(FN_MC!J105="","*",FN_MC!J105)</f>
        <v>74</v>
      </c>
      <c r="N104" s="183">
        <f>IF(FN_MC!K105="","*",FN_MC!K105)</f>
        <v>430.26799999999997</v>
      </c>
      <c r="O104" s="183" t="str">
        <f>IF(FN_MC!L105="","*",FN_MC!L105)</f>
        <v>-</v>
      </c>
      <c r="P104" s="107">
        <f>IF(FN_MC!O105="","*",FN_MC!O105)</f>
        <v>0.375</v>
      </c>
      <c r="Q104" s="107">
        <f>IF(FN_MC!P105="","*",FN_MC!P105)</f>
        <v>0.125</v>
      </c>
      <c r="R104" s="96" t="str">
        <f>IF(FN_MC!Q105="","*",CONCATENATE(FN_MC!Q105," ",FN_MC!R105))</f>
        <v>2 Nº DE SOLDA</v>
      </c>
      <c r="S104" s="96" t="str">
        <f>IF(FN_MC!V105="","*",FN_MC!V105)</f>
        <v>Elson</v>
      </c>
      <c r="T104" s="96" t="str">
        <f>IF(FN_MC!W105="","*",FN_MC!W105)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SIM</v>
      </c>
      <c r="B105" s="95" t="str">
        <f>IF(FN_MC!X106="","*",FN_MC!X106)</f>
        <v>Contrato</v>
      </c>
      <c r="C105" s="95" t="str">
        <f>IF(FN_MC!Z106="","*",FN_MC!Z106)</f>
        <v>*</v>
      </c>
      <c r="D105" s="96" t="str">
        <f>IF(FN_MC!S106="","*",FN_MC!S106)</f>
        <v>FERRONORTE</v>
      </c>
      <c r="E105" s="96" t="str">
        <f>IF(FN_MC!T106="","*",FN_MC!T106)</f>
        <v>TMI-TCS</v>
      </c>
      <c r="F105" s="96">
        <f>IF(FN_MC!B106="","*",FN_MC!B106)</f>
        <v>46064</v>
      </c>
      <c r="G105" s="96" t="str">
        <f>IF(FN_MC!D106="","*",FN_MC!D106)</f>
        <v>A60</v>
      </c>
      <c r="H105" s="96" t="str">
        <f>IF(FN_MC!F106="","*",FN_MC!F106)</f>
        <v>DETECÇÃO - RONDA 7 DIAS</v>
      </c>
      <c r="I105" s="96" t="str">
        <f>IF(FN_MC!H106="","*",FN_MC!H106)</f>
        <v>TCS291</v>
      </c>
      <c r="J105" s="96" t="str">
        <f>IF(FN_MC!I106="","*",FN_MC!I106)</f>
        <v>TGR512</v>
      </c>
      <c r="K105" s="96" t="str">
        <f>IF(FN_MC!M106="","*",FN_MC!M106)</f>
        <v>TCS-TGR</v>
      </c>
      <c r="L105" s="196" t="str">
        <f>IF(FN_MC!N106="","*",FN_MC!N106)</f>
        <v>TCSTGR</v>
      </c>
      <c r="M105" s="97">
        <f>IF(FN_MC!J106="","*",FN_MC!J106)</f>
        <v>74</v>
      </c>
      <c r="N105" s="183">
        <f>IF(FN_MC!K106="","*",FN_MC!K106)</f>
        <v>290.74</v>
      </c>
      <c r="O105" s="183" t="str">
        <f>IF(FN_MC!L106="","*",FN_MC!L106)</f>
        <v>-</v>
      </c>
      <c r="P105" s="107">
        <f>IF(FN_MC!O106="","*",FN_MC!O106)</f>
        <v>0.375</v>
      </c>
      <c r="Q105" s="107">
        <f>IF(FN_MC!P106="","*",FN_MC!P106)</f>
        <v>4.1666666666666664E-2</v>
      </c>
      <c r="R105" s="96" t="str">
        <f>IF(FN_MC!Q106="","*",CONCATENATE(FN_MC!Q106," ",FN_MC!R106))</f>
        <v>210 KM</v>
      </c>
      <c r="S105" s="96" t="str">
        <f>IF(FN_MC!V106="","*",FN_MC!V106)</f>
        <v>Daniel</v>
      </c>
      <c r="T105" s="96" t="str">
        <f>IF(FN_MC!W106="","*",FN_MC!W106)</f>
        <v>Ronda 7 dias TCS-TGR</v>
      </c>
      <c r="U105" s="98">
        <f ca="1">_xlfn.XLOOKUP(G105&amp;$U$3,BS_CONTROLE[CHAVE],BS_CONTROLE[Quantidade_11],"-")</f>
        <v>100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OPORTUNIDADE</v>
      </c>
      <c r="B106" s="95" t="str">
        <f>IF(FN_MC!X108="","*",FN_MC!X108)</f>
        <v>Oportunidade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W50</v>
      </c>
      <c r="H106" s="96" t="str">
        <f>IF(FN_MC!F108="","*",FN_MC!F108)</f>
        <v>MODERNIZAÇÃO - PEDRA - DESCARGA</v>
      </c>
      <c r="I106" s="96" t="str">
        <f>IF(FN_MC!H108="","*",FN_MC!H108)</f>
        <v xml:space="preserve">TCS2 </v>
      </c>
      <c r="J106" s="96" t="str">
        <f>IF(FN_MC!I108="","*",FN_MC!I108)</f>
        <v xml:space="preserve">TCS2 </v>
      </c>
      <c r="K106" s="96" t="str">
        <f>IF(FN_MC!M108="","*",FN_MC!M108)</f>
        <v>TVI-TJA</v>
      </c>
      <c r="L106" s="196">
        <f>IF(FN_MC!N108="","*",FN_MC!N108)</f>
        <v>239251</v>
      </c>
      <c r="M106" s="97">
        <f>IF(FN_MC!J108="","*",FN_MC!J108)</f>
        <v>74</v>
      </c>
      <c r="N106" s="183">
        <f>IF(FN_MC!K108="","*",FN_MC!K108)</f>
        <v>250</v>
      </c>
      <c r="O106" s="183">
        <f>IF(FN_MC!L108="","*",FN_MC!L108)</f>
        <v>239</v>
      </c>
      <c r="P106" s="107">
        <f>IF(FN_MC!O108="","*",FN_MC!O108)</f>
        <v>0.375</v>
      </c>
      <c r="Q106" s="107">
        <f>IF(FN_MC!P108="","*",FN_MC!P108)</f>
        <v>8.3333333333333329E-2</v>
      </c>
      <c r="R106" s="96" t="str">
        <f>IF(FN_MC!Q108="","*",CONCATENATE(FN_MC!Q108," ",FN_MC!R108))</f>
        <v>15 VAGÕES</v>
      </c>
      <c r="S106" s="96" t="str">
        <f>IF(FN_MC!V108="","*",FN_MC!V108)</f>
        <v>Augusto/ Efraim</v>
      </c>
      <c r="T106" s="96" t="str">
        <f>IF(FN_MC!W108="","*",FN_MC!W108)</f>
        <v xml:space="preserve">Descarga de pedra </v>
      </c>
      <c r="U106" s="98">
        <f ca="1">_xlfn.XLOOKUP(G106&amp;$U$3,BS_CONTROLE[CHAVE],BS_CONTROLE[Quantidade_11],"-")</f>
        <v>4</v>
      </c>
      <c r="V106" s="98">
        <f ca="1">_xlfn.XLOOKUP(G106&amp;$V$3,BS_CONTROLE[CHAVE],BS_CONTROLE[Quantidade_11],"-")</f>
        <v>0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MARCOS (TF-520)</v>
      </c>
      <c r="H107" s="96" t="str">
        <f>IF(FN_MC!F109="","*",FN_MC!F109)</f>
        <v>PDM - SOLDA</v>
      </c>
      <c r="I107" s="96" t="str">
        <f>IF(FN_MC!H109="","*",FN_MC!H109)</f>
        <v>TAPK35</v>
      </c>
      <c r="J107" s="96" t="str">
        <f>IF(FN_MC!I109="","*",FN_MC!I109)</f>
        <v>-</v>
      </c>
      <c r="K107" s="96" t="str">
        <f>IF(FN_MC!M109="","*",FN_MC!M109)</f>
        <v>TAP-TLG</v>
      </c>
      <c r="L107" s="196" t="str">
        <f>IF(FN_MC!N109="","*",FN_MC!N109)</f>
        <v>TAPK35</v>
      </c>
      <c r="M107" s="97">
        <f>IF(FN_MC!J109="","*",FN_MC!J109)</f>
        <v>74</v>
      </c>
      <c r="N107" s="183">
        <f>IF(FN_MC!K109="","*",FN_MC!K109)</f>
        <v>27.555</v>
      </c>
      <c r="O107" s="183">
        <f>IF(FN_MC!L109="","*",FN_MC!L109)</f>
        <v>26.818999999999999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2 Nº DE SOLDA</v>
      </c>
      <c r="S107" s="96" t="str">
        <f>IF(FN_MC!V109="","*",FN_MC!V109)</f>
        <v>Marcos Euzebio</v>
      </c>
      <c r="T107" s="96" t="str">
        <f>IF(FN_MC!W109="","*",FN_MC!W109)</f>
        <v>Execução de solda - Condicionado a temperatura (retirada de restrição)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ANISIO (TF-514)</v>
      </c>
      <c r="H108" s="96" t="str">
        <f>IF(FN_MC!F110="","*",FN_MC!F110)</f>
        <v>PDM - SUBSTITUIÇÃO - TRILHO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312 M</v>
      </c>
      <c r="S108" s="96" t="str">
        <f>IF(FN_MC!V110="","*",FN_MC!V110)</f>
        <v>Anisio</v>
      </c>
      <c r="T108" s="96" t="str">
        <f>IF(FN_MC!W110="","*",FN_MC!W110)</f>
        <v>Substituição de trilho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MALHA CENTRAL</v>
      </c>
      <c r="E109" s="96" t="str">
        <f>IF(FN_MC!T111="","*",FN_MC!T111)</f>
        <v>PPN-POV</v>
      </c>
      <c r="F109" s="96">
        <f>IF(FN_MC!B111="","*",FN_MC!B111)</f>
        <v>46064</v>
      </c>
      <c r="G109" s="96" t="str">
        <f>IF(FN_MC!D111="","*",FN_MC!D111)</f>
        <v xml:space="preserve">TURMA FIXA VIA </v>
      </c>
      <c r="H109" s="96" t="str">
        <f>IF(FN_MC!F111="","*",FN_MC!F111)</f>
        <v>PDM - SUBSTITUIÇÃO - TRILHO</v>
      </c>
      <c r="I109" s="96" t="str">
        <f>IF(FN_MC!H111="","*",FN_MC!H111)</f>
        <v>POVPJA</v>
      </c>
      <c r="J109" s="96" t="str">
        <f>IF(FN_MC!I111="","*",FN_MC!I111)</f>
        <v>-</v>
      </c>
      <c r="K109" s="96" t="str">
        <f>IF(FN_MC!M111="","*",FN_MC!M111)</f>
        <v>PJA-POV</v>
      </c>
      <c r="L109" s="196" t="str">
        <f>IF(FN_MC!N111="","*",FN_MC!N111)</f>
        <v>POVPJA</v>
      </c>
      <c r="M109" s="97">
        <f>IF(FN_MC!J111="","*",FN_MC!J111)</f>
        <v>101</v>
      </c>
      <c r="N109" s="183">
        <f>IF(FN_MC!K111="","*",FN_MC!K111)</f>
        <v>1505.85</v>
      </c>
      <c r="O109" s="183" t="str">
        <f>IF(FN_MC!L111="","*",FN_MC!L111)</f>
        <v>-</v>
      </c>
      <c r="P109" s="107">
        <f>IF(FN_MC!O111="","*",FN_MC!O111)</f>
        <v>0.41666666666666669</v>
      </c>
      <c r="Q109" s="107">
        <f>IF(FN_MC!P111="","*",FN_MC!P111)</f>
        <v>8.3333333333333329E-2</v>
      </c>
      <c r="R109" s="96" t="str">
        <f>IF(FN_MC!Q111="","*",CONCATENATE(FN_MC!Q111," ",FN_MC!R111))</f>
        <v>8 M</v>
      </c>
      <c r="S109" s="96" t="str">
        <f>IF(FN_MC!V111="","*",FN_MC!V111)</f>
        <v>Carlito</v>
      </c>
      <c r="T109" s="96" t="str">
        <f>IF(FN_MC!W111="","*",FN_MC!W111)</f>
        <v>Substituição de barra curta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8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IF(FN_MC!Y114="","*",FN_MC!Y114)</f>
        <v>*</v>
      </c>
      <c r="B112" s="95" t="str">
        <f>IF(FN_MC!X114="","*",FN_MC!X114)</f>
        <v>Oportunidade</v>
      </c>
      <c r="C112" s="95" t="str">
        <f>IF(FN_MC!Z114="","*",FN_MC!Z114)</f>
        <v>*</v>
      </c>
      <c r="D112" s="96" t="str">
        <f>IF(FN_MC!S114="","*",FN_MC!S114)</f>
        <v>FERRONORTE</v>
      </c>
      <c r="E112" s="96" t="str">
        <f>IF(FN_MC!T114="","*",FN_MC!T114)</f>
        <v>TGR-TRO</v>
      </c>
      <c r="F112" s="96">
        <f>IF(FN_MC!B114="","*",FN_MC!B114)</f>
        <v>46065</v>
      </c>
      <c r="G112" s="96" t="str">
        <f>IF(FN_MC!D114="","*",FN_MC!D114)</f>
        <v>V86</v>
      </c>
      <c r="H112" s="96" t="str">
        <f>IF(FN_MC!F114="","*",FN_MC!F114)</f>
        <v>MECANIZAÇÃO - SOCADORA</v>
      </c>
      <c r="I112" s="96" t="str">
        <f>IF(FN_MC!H114="","*",FN_MC!H114)</f>
        <v>TSF1</v>
      </c>
      <c r="J112" s="96" t="str">
        <f>IF(FN_MC!I114="","*",FN_MC!I114)</f>
        <v>TMJ1</v>
      </c>
      <c r="K112" s="96" t="str">
        <f>IF(FN_MC!M114="","*",FN_MC!M114)</f>
        <v>TBS-TAL</v>
      </c>
      <c r="L112" s="196" t="str">
        <f>IF(FN_MC!N114="","*",FN_MC!N114)</f>
        <v>TBS671</v>
      </c>
      <c r="M112" s="97">
        <f>IF(FN_MC!J114="","*",FN_MC!J114)</f>
        <v>98</v>
      </c>
      <c r="N112" s="183">
        <f>IF(FN_MC!K114="","*",FN_MC!K114)</f>
        <v>665.9</v>
      </c>
      <c r="O112" s="183">
        <f>IF(FN_MC!L114="","*",FN_MC!L114)</f>
        <v>664</v>
      </c>
      <c r="P112" s="107">
        <f>IF(FN_MC!O114="","*",FN_MC!O114)</f>
        <v>0.4375</v>
      </c>
      <c r="Q112" s="107">
        <f>IF(FN_MC!P114="","*",FN_MC!P114)</f>
        <v>0.125</v>
      </c>
      <c r="R112" s="96" t="str">
        <f>IF(FN_MC!Q114="","*",CONCATENATE(FN_MC!Q114," ",FN_MC!R114))</f>
        <v>1680 M</v>
      </c>
      <c r="S112" s="96" t="str">
        <f>IF(FN_MC!V114="","*",FN_MC!V114)</f>
        <v>Antonioni</v>
      </c>
      <c r="T112" s="96" t="str">
        <f>IF(FN_MC!W114="","*",FN_MC!W114)</f>
        <v>Socaria mecanizada</v>
      </c>
      <c r="U112" s="98">
        <f ca="1">_xlfn.XLOOKUP(G112&amp;$U$3,BS_CONTROLE[CHAVE],BS_CONTROLE[Quantidade_11],"-")</f>
        <v>4512</v>
      </c>
      <c r="V112" s="98">
        <f ca="1">_xlfn.XLOOKUP(G112&amp;$V$3,BS_CONTROLE[CHAVE],BS_CONTROLE[Quantidade_11],"-")</f>
        <v>0</v>
      </c>
      <c r="W112" s="98">
        <f ca="1">_xlfn.XLOOKUP(G112&amp;$W$3,BS_CONTROLE[CHAVE],BS_CONTROLE[Quantidade_11],"-")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IF(FN_MC!Y115="","*",FN_MC!Y115)</f>
        <v>*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W70</v>
      </c>
      <c r="H113" s="96" t="str">
        <f>IF(FN_MC!F115="","*",FN_MC!F115)</f>
        <v>PDM - PEDRA - DESCARGA</v>
      </c>
      <c r="I113" s="96" t="str">
        <f>IF(FN_MC!H115="","*",FN_MC!H115)</f>
        <v>TIQ</v>
      </c>
      <c r="J113" s="96" t="str">
        <f>IF(FN_MC!I115="","*",FN_MC!I115)</f>
        <v>TIQ2</v>
      </c>
      <c r="K113" s="96" t="str">
        <f>IF(FN_MC!M115="","*",FN_MC!M115)</f>
        <v>TSA-TBS</v>
      </c>
      <c r="L113" s="196" t="str">
        <f>IF(FN_MC!N115="","*",FN_MC!N115)</f>
        <v>651TBS</v>
      </c>
      <c r="M113" s="97">
        <f>IF(FN_MC!J115="","*",FN_MC!J115)</f>
        <v>98</v>
      </c>
      <c r="N113" s="183">
        <f>IF(FN_MC!K115="","*",FN_MC!K115)</f>
        <v>659</v>
      </c>
      <c r="O113" s="183">
        <f>IF(FN_MC!L115="","*",FN_MC!L115)</f>
        <v>661</v>
      </c>
      <c r="P113" s="107">
        <f>IF(FN_MC!O115="","*",FN_MC!O115)</f>
        <v>0.41666666666666669</v>
      </c>
      <c r="Q113" s="107">
        <f>IF(FN_MC!P115="","*",FN_MC!P115)</f>
        <v>8.3333333333333329E-2</v>
      </c>
      <c r="R113" s="96" t="str">
        <f>IF(FN_MC!Q115="","*",CONCATENATE(FN_MC!Q115," ",FN_MC!R115))</f>
        <v>20 VAGÕES</v>
      </c>
      <c r="S113" s="96" t="str">
        <f>IF(FN_MC!V115="","*",FN_MC!V115)</f>
        <v xml:space="preserve">Camila </v>
      </c>
      <c r="T113" s="96" t="str">
        <f>IF(FN_MC!W115="","*",FN_MC!W115)</f>
        <v>Descarga de brita</v>
      </c>
      <c r="U113" s="98">
        <f ca="1">_xlfn.XLOOKUP(G113&amp;$U$3,BS_CONTROLE[CHAVE],BS_CONTROLE[Quantidade_11],"-")</f>
        <v>27</v>
      </c>
      <c r="V113" s="98">
        <f ca="1">_xlfn.XLOOKUP(G113&amp;$V$3,BS_CONTROLE[CHAVE],BS_CONTROLE[Quantidade_11],"-")</f>
        <v>0</v>
      </c>
      <c r="W113" s="98" t="str">
        <f ca="1">_xlfn.XLOOKUP(G113&amp;$W$3,BS_CONTROLE[CHAVE],BS_CONTROLE[Quantidade_11],"-")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IF(FN_MC!Y117="","*",FN_MC!Y117)</f>
        <v>*</v>
      </c>
      <c r="B115" s="95" t="str">
        <f>IF(FN_MC!X117="","*",FN_MC!X117)</f>
        <v>Oportunidade</v>
      </c>
      <c r="C115" s="95" t="str">
        <f>IF(FN_MC!Z117="","*",FN_MC!Z117)</f>
        <v>*</v>
      </c>
      <c r="D115" s="96" t="str">
        <f>IF(FN_MC!S117="","*",FN_MC!S117)</f>
        <v>FERRONORTE</v>
      </c>
      <c r="E115" s="96" t="str">
        <f>IF(FN_MC!T117="","*",FN_MC!T117)</f>
        <v>TGR-TRO</v>
      </c>
      <c r="F115" s="96">
        <f>IF(FN_MC!B117="","*",FN_MC!B117)</f>
        <v>46065</v>
      </c>
      <c r="G115" s="96" t="str">
        <f>IF(FN_MC!D117="","*",FN_MC!D117)</f>
        <v>FERNANDO (TF-19)</v>
      </c>
      <c r="H115" s="96" t="str">
        <f>IF(FN_MC!F117="","*",FN_MC!F117)</f>
        <v>PDM - SUBSTITUIÇÃO - TRILHO</v>
      </c>
      <c r="I115" s="96" t="str">
        <f>IF(FN_MC!H117="","*",FN_MC!H117)</f>
        <v>TBS671</v>
      </c>
      <c r="J115" s="96" t="str">
        <f>IF(FN_MC!I117="","*",FN_MC!I117)</f>
        <v>-</v>
      </c>
      <c r="K115" s="96" t="str">
        <f>IF(FN_MC!M117="","*",FN_MC!M117)</f>
        <v>TBS-TAL</v>
      </c>
      <c r="L115" s="196" t="str">
        <f>IF(FN_MC!N117="","*",FN_MC!N117)</f>
        <v>TBS671</v>
      </c>
      <c r="M115" s="97">
        <f>IF(FN_MC!J117="","*",FN_MC!J117)</f>
        <v>98</v>
      </c>
      <c r="N115" s="183">
        <f>IF(FN_MC!K117="","*",FN_MC!K117)</f>
        <v>662.65</v>
      </c>
      <c r="O115" s="183" t="str">
        <f>IF(FN_MC!L117="","*",FN_MC!L117)</f>
        <v>-</v>
      </c>
      <c r="P115" s="107">
        <f>IF(FN_MC!O117="","*",FN_MC!O117)</f>
        <v>0.41666666666666669</v>
      </c>
      <c r="Q115" s="107">
        <f>IF(FN_MC!P117="","*",FN_MC!P117)</f>
        <v>4.1666666666666664E-2</v>
      </c>
      <c r="R115" s="96" t="str">
        <f>IF(FN_MC!Q117="","*",CONCATENATE(FN_MC!Q117," ",FN_MC!R117))</f>
        <v>10 M</v>
      </c>
      <c r="S115" s="96" t="str">
        <f>IF(FN_MC!V117="","*",FN_MC!V117)</f>
        <v xml:space="preserve">Camila </v>
      </c>
      <c r="T115" s="96" t="str">
        <f>IF(FN_MC!W117="","*",FN_MC!W117)</f>
        <v>Substituição de trilho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IF(FN_MC!Y119="","*",FN_MC!Y119)</f>
        <v>*</v>
      </c>
      <c r="B117" s="95" t="str">
        <f>IF(FN_MC!X119="","*",FN_MC!X119)</f>
        <v>Oportunidade</v>
      </c>
      <c r="C117" s="95" t="str">
        <f>IF(FN_MC!Z119="","*",FN_MC!Z119)</f>
        <v>*</v>
      </c>
      <c r="D117" s="96" t="str">
        <f>IF(FN_MC!S119="","*",FN_MC!S119)</f>
        <v>FERRONORTE</v>
      </c>
      <c r="E117" s="96" t="str">
        <f>IF(FN_MC!T119="","*",FN_MC!T119)</f>
        <v>TGR-TRO</v>
      </c>
      <c r="F117" s="96">
        <f>IF(FN_MC!B119="","*",FN_MC!B119)</f>
        <v>46065</v>
      </c>
      <c r="G117" s="96" t="str">
        <f>IF(FN_MC!D119="","*",FN_MC!D119)</f>
        <v>BRUNO (TF-525)</v>
      </c>
      <c r="H117" s="96" t="str">
        <f>IF(FN_MC!F119="","*",FN_MC!F119)</f>
        <v>PDM - SOLDA</v>
      </c>
      <c r="I117" s="96" t="str">
        <f>IF(FN_MC!H119="","*",FN_MC!H119)</f>
        <v>TEPPAT1</v>
      </c>
      <c r="J117" s="96" t="str">
        <f>IF(FN_MC!I119="","*",FN_MC!I119)</f>
        <v>-</v>
      </c>
      <c r="K117" s="96" t="str">
        <f>IF(FN_MC!M119="","*",FN_MC!M119)</f>
        <v>TEP-TMJ</v>
      </c>
      <c r="L117" s="196" t="str">
        <f>IF(FN_MC!N119="","*",FN_MC!N119)</f>
        <v>TEPPAT1</v>
      </c>
      <c r="M117" s="97">
        <f>IF(FN_MC!J119="","*",FN_MC!J119)</f>
        <v>98</v>
      </c>
      <c r="N117" s="183">
        <f>IF(FN_MC!K119="","*",FN_MC!K119)</f>
        <v>565.44100000000003</v>
      </c>
      <c r="O117" s="183" t="str">
        <f>IF(FN_MC!L119="","*",FN_MC!L119)</f>
        <v>-</v>
      </c>
      <c r="P117" s="107">
        <f>IF(FN_MC!O119="","*",FN_MC!O119)</f>
        <v>0.41666666666666669</v>
      </c>
      <c r="Q117" s="107">
        <f>IF(FN_MC!P119="","*",FN_MC!P119)</f>
        <v>6.25E-2</v>
      </c>
      <c r="R117" s="96" t="str">
        <f>IF(FN_MC!Q119="","*",CONCATENATE(FN_MC!Q119," ",FN_MC!R119))</f>
        <v>1 Nº DE SOLDA</v>
      </c>
      <c r="S117" s="96" t="str">
        <f>IF(FN_MC!V119="","*",FN_MC!V119)</f>
        <v xml:space="preserve">Camila </v>
      </c>
      <c r="T117" s="96" t="str">
        <f>IF(FN_MC!W119="","*",FN_MC!W119)</f>
        <v>Execução de solda</v>
      </c>
      <c r="U117" s="98">
        <f ca="1">_xlfn.XLOOKUP(G117&amp;$U$3,BS_CONTROLE[CHAVE],BS_CONTROLE[Quantidade_11],"-")</f>
        <v>0</v>
      </c>
      <c r="V117" s="98">
        <f ca="1">_xlfn.XLOOKUP(G117&amp;$V$3,BS_CONTROLE[CHAVE],BS_CONTROLE[Quantidade_11],"-")</f>
        <v>0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_xlfn.XLOOKUP(G118&amp;$U$3,BS_CONTROLE[CHAVE],BS_CONTROLE[Quantidade_11],"-")</f>
        <v>-</v>
      </c>
      <c r="V118" s="98" t="str">
        <f ca="1">_xlfn.XLOOKUP(G118&amp;$V$3,BS_CONTROLE[CHAVE],BS_CONTROLE[Quantidade_11],"-")</f>
        <v>-</v>
      </c>
      <c r="W118" s="98" t="str">
        <f ca="1">_xlfn.XLOOKUP(G118&amp;$W$3,BS_CONTROLE[CHAVE],BS_CONTROLE[Quantidade_11],"-")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IF(FN_MC!Y121="","*",FN_MC!Y121)</f>
        <v>*</v>
      </c>
      <c r="B119" s="95" t="str">
        <f>IF(FN_MC!X121="","*",FN_MC!X121)</f>
        <v>Oportunidade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TMI-TCS</v>
      </c>
      <c r="F119" s="96">
        <f>IF(FN_MC!B121="","*",FN_MC!B121)</f>
        <v>46065</v>
      </c>
      <c r="G119" s="96" t="str">
        <f>IF(FN_MC!D121="","*",FN_MC!D121)</f>
        <v>W50</v>
      </c>
      <c r="H119" s="96" t="str">
        <f>IF(FN_MC!F121="","*",FN_MC!F121)</f>
        <v>MODERNIZAÇÃO - PEDRA - DESCARGA</v>
      </c>
      <c r="I119" s="96" t="str">
        <f>IF(FN_MC!H121="","*",FN_MC!H121)</f>
        <v xml:space="preserve">TCS2 </v>
      </c>
      <c r="J119" s="96" t="str">
        <f>IF(FN_MC!I121="","*",FN_MC!I121)</f>
        <v xml:space="preserve">TCS2 </v>
      </c>
      <c r="K119" s="96" t="str">
        <f>IF(FN_MC!M121="","*",FN_MC!M121)</f>
        <v>TVI-TJA</v>
      </c>
      <c r="L119" s="196">
        <f>IF(FN_MC!N121="","*",FN_MC!N121)</f>
        <v>239251</v>
      </c>
      <c r="M119" s="97">
        <f>IF(FN_MC!J121="","*",FN_MC!J121)</f>
        <v>74</v>
      </c>
      <c r="N119" s="183">
        <f>IF(FN_MC!K121="","*",FN_MC!K121)</f>
        <v>250</v>
      </c>
      <c r="O119" s="183">
        <f>IF(FN_MC!L121="","*",FN_MC!L121)</f>
        <v>239</v>
      </c>
      <c r="P119" s="107">
        <f>IF(FN_MC!O121="","*",FN_MC!O121)</f>
        <v>0.375</v>
      </c>
      <c r="Q119" s="107">
        <f>IF(FN_MC!P121="","*",FN_MC!P121)</f>
        <v>8.3333333333333329E-2</v>
      </c>
      <c r="R119" s="96" t="str">
        <f>IF(FN_MC!Q121="","*",CONCATENATE(FN_MC!Q121," ",FN_MC!R121))</f>
        <v>15 VAGÕES</v>
      </c>
      <c r="S119" s="96" t="str">
        <f>IF(FN_MC!V121="","*",FN_MC!V121)</f>
        <v>Augusto/ Efraim</v>
      </c>
      <c r="T119" s="96" t="str">
        <f>IF(FN_MC!W121="","*",FN_MC!W121)</f>
        <v xml:space="preserve">Descarga de pedra </v>
      </c>
      <c r="U119" s="98">
        <f ca="1">_xlfn.XLOOKUP(G119&amp;$U$3,BS_CONTROLE[CHAVE],BS_CONTROLE[Quantidade_11],"-")</f>
        <v>4</v>
      </c>
      <c r="V119" s="98">
        <f ca="1">_xlfn.XLOOKUP(G119&amp;$V$3,BS_CONTROLE[CHAVE],BS_CONTROLE[Quantidade_11],"-")</f>
        <v>0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IF(FN_MC!Y123="","*",FN_MC!Y123)</f>
        <v>*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6" t="str">
        <f>IF(FN_MC!N123="","*",FN_MC!N123)</f>
        <v>TCE177</v>
      </c>
      <c r="M121" s="97">
        <f>IF(FN_MC!J123="","*",FN_MC!J123)</f>
        <v>74</v>
      </c>
      <c r="N121" s="183">
        <f>IF(FN_MC!K123="","*",FN_MC!K123)</f>
        <v>173</v>
      </c>
      <c r="O121" s="183">
        <f>IF(FN_MC!L123="","*",FN_MC!L123)</f>
        <v>174</v>
      </c>
      <c r="P121" s="107">
        <f>IF(FN_MC!O123="","*",FN_MC!O123)</f>
        <v>0.375</v>
      </c>
      <c r="Q121" s="107">
        <f>IF(FN_MC!P123="","*",FN_MC!P123)</f>
        <v>8.3333333333333329E-2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>
        <f ca="1">_xlfn.XLOOKUP(G121&amp;$U$3,BS_CONTROLE[CHAVE],BS_CONTROLE[Quantidade_11],"-")</f>
        <v>1000</v>
      </c>
      <c r="V121" s="98">
        <f ca="1">_xlfn.XLOOKUP(G121&amp;$V$3,BS_CONTROLE[CHAVE],BS_CONTROLE[Quantidade_11],"-")</f>
        <v>0</v>
      </c>
      <c r="W121" s="98">
        <f ca="1">_xlfn.XLOOKUP(G121&amp;$W$3,BS_CONTROLE[CHAVE],BS_CONTROLE[Quantidade_11],"-")</f>
        <v>1000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IF(FN_MC!Y125="","*",FN_MC!Y125)</f>
        <v>*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TMO1</v>
      </c>
      <c r="J123" s="96" t="str">
        <f>IF(FN_MC!I125="","*",FN_MC!I125)</f>
        <v>-</v>
      </c>
      <c r="K123" s="96" t="str">
        <f>IF(FN_MC!M125="","*",FN_MC!M125)</f>
        <v>TMO</v>
      </c>
      <c r="L123" s="196" t="str">
        <f>IF(FN_MC!N125="","*",FN_MC!N125)</f>
        <v>TMO1</v>
      </c>
      <c r="M123" s="97">
        <f>IF(FN_MC!J125="","*",FN_MC!J125)</f>
        <v>74</v>
      </c>
      <c r="N123" s="183">
        <f>IF(FN_MC!K125="","*",FN_MC!K125)</f>
        <v>143.35</v>
      </c>
      <c r="O123" s="18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0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IF(FN_MC!Y127="","*",FN_MC!Y127)</f>
        <v>*</v>
      </c>
      <c r="B125" s="95" t="str">
        <f>IF(FN_MC!X127="","*",FN_MC!X127)</f>
        <v>Oportunidade</v>
      </c>
      <c r="C125" s="95" t="str">
        <f>IF(FN_MC!Z127="","*",FN_MC!Z127)</f>
        <v>*</v>
      </c>
      <c r="D125" s="96" t="str">
        <f>IF(FN_MC!S127="","*",FN_MC!S127)</f>
        <v>FERRONORTE</v>
      </c>
      <c r="E125" s="96" t="str">
        <f>IF(FN_MC!T127="","*",FN_MC!T127)</f>
        <v>TMI-TCS</v>
      </c>
      <c r="F125" s="96">
        <f>IF(FN_MC!B127="","*",FN_MC!B127)</f>
        <v>46065</v>
      </c>
      <c r="G125" s="96" t="str">
        <f>IF(FN_MC!D127="","*",FN_MC!D127)</f>
        <v>ANISIO (TF-514)</v>
      </c>
      <c r="H125" s="96" t="str">
        <f>IF(FN_MC!F127="","*",FN_MC!F127)</f>
        <v>PDM - SUBSTITUIÇÃO - TRILHO</v>
      </c>
      <c r="I125" s="96" t="str">
        <f>IF(FN_MC!H127="","*",FN_MC!H127)</f>
        <v>TAPK35</v>
      </c>
      <c r="J125" s="96" t="str">
        <f>IF(FN_MC!I127="","*",FN_MC!I127)</f>
        <v>-</v>
      </c>
      <c r="K125" s="96" t="str">
        <f>IF(FN_MC!M127="","*",FN_MC!M127)</f>
        <v>TAP-TLG</v>
      </c>
      <c r="L125" s="196" t="str">
        <f>IF(FN_MC!N127="","*",FN_MC!N127)</f>
        <v>TAPK35</v>
      </c>
      <c r="M125" s="97">
        <f>IF(FN_MC!J127="","*",FN_MC!J127)</f>
        <v>74</v>
      </c>
      <c r="N125" s="183">
        <f>IF(FN_MC!K127="","*",FN_MC!K127)</f>
        <v>26.818999999999999</v>
      </c>
      <c r="O125" s="183" t="str">
        <f>IF(FN_MC!L127="","*",FN_MC!L127)</f>
        <v>-</v>
      </c>
      <c r="P125" s="107">
        <f>IF(FN_MC!O127="","*",FN_MC!O127)</f>
        <v>0.375</v>
      </c>
      <c r="Q125" s="107">
        <f>IF(FN_MC!P127="","*",FN_MC!P127)</f>
        <v>8.3333333333333329E-2</v>
      </c>
      <c r="R125" s="96" t="str">
        <f>IF(FN_MC!Q127="","*",CONCATENATE(FN_MC!Q127," ",FN_MC!R127))</f>
        <v>312 M</v>
      </c>
      <c r="S125" s="96" t="str">
        <f>IF(FN_MC!V127="","*",FN_MC!V127)</f>
        <v>Anísio</v>
      </c>
      <c r="T125" s="96" t="str">
        <f>IF(FN_MC!W127="","*",FN_MC!W127)</f>
        <v>Execução de solda</v>
      </c>
      <c r="U125" s="98" t="str">
        <f ca="1">_xlfn.XLOOKUP(G125&amp;$U$3,BS_CONTROLE[CHAVE],BS_CONTROLE[Quantidade_11],"-")</f>
        <v>-</v>
      </c>
      <c r="V125" s="98">
        <f ca="1">_xlfn.XLOOKUP(G125&amp;$V$3,BS_CONTROLE[CHAVE],BS_CONTROLE[Quantidade_11],"-")</f>
        <v>0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IF(FN_MC!Y129="","*",FN_MC!Y129)</f>
        <v>*</v>
      </c>
      <c r="B127" s="95" t="str">
        <f>IF(FN_MC!X129="","*",FN_MC!X129)</f>
        <v>Oportunidade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RAMAL</v>
      </c>
      <c r="F127" s="96">
        <f>IF(FN_MC!B129="","*",FN_MC!B129)</f>
        <v>46065</v>
      </c>
      <c r="G127" s="96" t="str">
        <f>IF(FN_MC!D129="","*",FN_MC!D129)</f>
        <v>A88</v>
      </c>
      <c r="H127" s="96" t="str">
        <f>IF(FN_MC!F129="","*",FN_MC!F129)</f>
        <v>INSPEÇÃO AUTO DE LINHA</v>
      </c>
      <c r="I127" s="96" t="str">
        <f>IF(FN_MC!H129="","*",FN_MC!H129)</f>
        <v>ZTP</v>
      </c>
      <c r="J127" s="96" t="str">
        <f>IF(FN_MC!I129="","*",FN_MC!I129)</f>
        <v>ZJU</v>
      </c>
      <c r="K127" s="96" t="str">
        <f>IF(FN_MC!M129="","*",FN_MC!M129)</f>
        <v>ZAY-ZTP</v>
      </c>
      <c r="L127" s="196" t="str">
        <f>IF(FN_MC!N129="","*",FN_MC!N129)</f>
        <v>ZAYZTP</v>
      </c>
      <c r="M127" s="97">
        <f>IF(FN_MC!J129="","*",FN_MC!J129)</f>
        <v>78</v>
      </c>
      <c r="N127" s="183">
        <f>IF(FN_MC!K129="","*",FN_MC!K129)</f>
        <v>334</v>
      </c>
      <c r="O127" s="183">
        <f>IF(FN_MC!L129="","*",FN_MC!L129)</f>
        <v>275</v>
      </c>
      <c r="P127" s="107">
        <f>IF(FN_MC!O129="","*",FN_MC!O129)</f>
        <v>0.33333333333333331</v>
      </c>
      <c r="Q127" s="107">
        <f>IF(FN_MC!P129="","*",FN_MC!P129)</f>
        <v>4.1666666666666664E-2</v>
      </c>
      <c r="R127" s="96" t="str">
        <f>IF(FN_MC!Q129="","*",CONCATENATE(FN_MC!Q129," ",FN_MC!R129))</f>
        <v>1 BINÁRIO</v>
      </c>
      <c r="S127" s="96" t="str">
        <f>IF(FN_MC!V129="","*",FN_MC!V129)</f>
        <v>Wesley</v>
      </c>
      <c r="T127" s="96" t="str">
        <f>IF(FN_MC!W129="","*",FN_MC!W129)</f>
        <v>Inspeção auto de linha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-</v>
      </c>
      <c r="E776" s="96" t="str">
        <f>IF(FN_MC!T778="","*",FN_MC!T778)</f>
        <v>-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-</v>
      </c>
      <c r="L776" s="196" t="str">
        <f>IF(FN_MC!N778="","*",FN_MC!N778)</f>
        <v>-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-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IF(FN_MC!Y903="","*",FN_MC!Y903)</f>
        <v>*</v>
      </c>
      <c r="B901" s="95" t="str">
        <f>IF(FN_MC!X903="","*",FN_MC!X903)</f>
        <v>*</v>
      </c>
      <c r="C901" s="95" t="str">
        <f>IF(FN_MC!Z903="","*",FN_MC!Z903)</f>
        <v>*</v>
      </c>
      <c r="D901" s="96" t="str">
        <f>IF(FN_MC!S903="","*",FN_MC!S903)</f>
        <v>*</v>
      </c>
      <c r="E901" s="96" t="str">
        <f>IF(FN_MC!T903="","*",FN_MC!T903)</f>
        <v>*</v>
      </c>
      <c r="F901" s="96" t="str">
        <f>IF(FN_MC!B903="","*",FN_MC!B903)</f>
        <v>*</v>
      </c>
      <c r="G901" s="96" t="str">
        <f>IF(FN_MC!D903="","*",FN_MC!D903)</f>
        <v>*</v>
      </c>
      <c r="H901" s="96" t="str">
        <f>IF(FN_MC!F903="","*",FN_MC!F903)</f>
        <v>*</v>
      </c>
      <c r="I901" s="96" t="str">
        <f>IF(FN_MC!H903="","*",FN_MC!H903)</f>
        <v>*</v>
      </c>
      <c r="J901" s="96" t="str">
        <f>IF(FN_MC!I903="","*",FN_MC!I903)</f>
        <v>*</v>
      </c>
      <c r="K901" s="96" t="str">
        <f>IF(FN_MC!M903="","*",FN_MC!M903)</f>
        <v>*</v>
      </c>
      <c r="L901" s="196" t="str">
        <f>IF(FN_MC!N903="","*",FN_MC!N903)</f>
        <v>*</v>
      </c>
      <c r="M901" s="97" t="str">
        <f>IF(FN_MC!J903="","*",FN_MC!J903)</f>
        <v>*</v>
      </c>
      <c r="N901" s="183" t="str">
        <f>IF(FN_MC!K903="","*",FN_MC!K903)</f>
        <v>*</v>
      </c>
      <c r="O901" s="183" t="str">
        <f>IF(FN_MC!L903="","*",FN_MC!L903)</f>
        <v>*</v>
      </c>
      <c r="P901" s="107" t="str">
        <f>IF(FN_MC!O903="","*",FN_MC!O903)</f>
        <v>*</v>
      </c>
      <c r="Q901" s="107" t="str">
        <f>IF(FN_MC!P903="","*",FN_MC!P903)</f>
        <v>*</v>
      </c>
      <c r="R901" s="96" t="str">
        <f>IF(FN_MC!Q903="","*",CONCATENATE(FN_MC!Q903," ",FN_MC!R903))</f>
        <v>*</v>
      </c>
      <c r="S901" s="96" t="str">
        <f>IF(FN_MC!V903="","*",FN_MC!V903)</f>
        <v>*</v>
      </c>
      <c r="T901" s="96" t="str">
        <f>IF(FN_MC!W903="","*",FN_MC!W903)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2" dateTimeGrouping="day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1524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91" t="s">
        <v>1525</v>
      </c>
      <c r="C4" s="191" t="s">
        <v>1526</v>
      </c>
      <c r="D4" s="191" t="s">
        <v>1527</v>
      </c>
      <c r="E4" s="191" t="s">
        <v>1528</v>
      </c>
      <c r="F4" s="191" t="s">
        <v>366</v>
      </c>
      <c r="G4" s="191" t="s">
        <v>1529</v>
      </c>
    </row>
    <row r="5" spans="2:7">
      <c r="B5" s="192" t="s">
        <v>1530</v>
      </c>
      <c r="C5" s="192">
        <v>309525</v>
      </c>
      <c r="D5" s="192" t="s">
        <v>1531</v>
      </c>
      <c r="E5" s="192" t="s">
        <v>249</v>
      </c>
      <c r="F5" s="192" t="s">
        <v>1532</v>
      </c>
      <c r="G5" s="193">
        <v>46296</v>
      </c>
    </row>
    <row r="6" spans="2:7">
      <c r="B6" s="192" t="s">
        <v>1533</v>
      </c>
      <c r="C6" s="192">
        <v>257410</v>
      </c>
      <c r="D6" s="192" t="s">
        <v>1534</v>
      </c>
      <c r="E6" s="192" t="s">
        <v>249</v>
      </c>
      <c r="F6" s="192" t="s">
        <v>1532</v>
      </c>
      <c r="G6" s="193"/>
    </row>
    <row r="7" spans="2:7">
      <c r="B7" s="192" t="s">
        <v>1481</v>
      </c>
      <c r="C7" s="192">
        <v>256875</v>
      </c>
      <c r="D7" s="192" t="s">
        <v>1535</v>
      </c>
      <c r="E7" s="192" t="s">
        <v>249</v>
      </c>
      <c r="F7" s="192" t="s">
        <v>1532</v>
      </c>
      <c r="G7" s="193">
        <v>46296</v>
      </c>
    </row>
    <row r="8" spans="2:7">
      <c r="B8" s="192" t="s">
        <v>1536</v>
      </c>
      <c r="C8" s="192">
        <v>257278</v>
      </c>
      <c r="D8" s="192" t="s">
        <v>1537</v>
      </c>
      <c r="E8" s="192" t="s">
        <v>240</v>
      </c>
      <c r="F8" s="192" t="s">
        <v>1538</v>
      </c>
      <c r="G8" s="193">
        <v>46235</v>
      </c>
    </row>
    <row r="9" spans="2:7">
      <c r="B9" s="192" t="s">
        <v>1539</v>
      </c>
      <c r="C9" s="192">
        <v>261794</v>
      </c>
      <c r="D9" s="192" t="s">
        <v>1540</v>
      </c>
      <c r="E9" s="192" t="s">
        <v>240</v>
      </c>
      <c r="F9" s="192" t="s">
        <v>1538</v>
      </c>
      <c r="G9" s="193">
        <v>46082</v>
      </c>
    </row>
    <row r="10" spans="2:7">
      <c r="B10" s="192" t="s">
        <v>1541</v>
      </c>
      <c r="C10" s="192">
        <v>257033</v>
      </c>
      <c r="D10" s="192" t="s">
        <v>1542</v>
      </c>
      <c r="E10" s="192" t="s">
        <v>240</v>
      </c>
      <c r="F10" s="192" t="s">
        <v>480</v>
      </c>
      <c r="G10" s="192" t="s">
        <v>1543</v>
      </c>
    </row>
    <row r="11" spans="2:7">
      <c r="B11" s="192" t="s">
        <v>1544</v>
      </c>
      <c r="C11" s="192">
        <v>396578</v>
      </c>
      <c r="D11" s="192" t="s">
        <v>1545</v>
      </c>
      <c r="E11" s="192" t="s">
        <v>240</v>
      </c>
      <c r="F11" s="192" t="s">
        <v>480</v>
      </c>
      <c r="G11" s="192" t="s">
        <v>1543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0" t="s">
        <v>1546</v>
      </c>
      <c r="D5" s="271"/>
      <c r="E5" s="271"/>
      <c r="F5" s="271"/>
      <c r="G5" s="271"/>
      <c r="H5" s="271"/>
      <c r="I5" s="271"/>
      <c r="J5" s="272"/>
      <c r="K5" s="273" t="s">
        <v>1547</v>
      </c>
      <c r="L5" s="274"/>
      <c r="M5" s="274"/>
      <c r="N5" s="274"/>
      <c r="O5" s="275" t="s">
        <v>1548</v>
      </c>
      <c r="P5" s="276"/>
      <c r="Q5" s="277"/>
    </row>
    <row r="6" spans="1:17" s="81" customFormat="1" ht="15.75" customHeight="1">
      <c r="A6" s="75" t="s">
        <v>1522</v>
      </c>
      <c r="B6" s="82" t="s">
        <v>1521</v>
      </c>
      <c r="C6" s="83" t="s">
        <v>1211</v>
      </c>
      <c r="D6" s="84" t="s">
        <v>1212</v>
      </c>
      <c r="E6" s="83" t="s">
        <v>1549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1550</v>
      </c>
      <c r="M6" s="116" t="s">
        <v>29</v>
      </c>
      <c r="N6" s="117" t="s">
        <v>1206</v>
      </c>
      <c r="O6" s="165" t="s">
        <v>1249</v>
      </c>
      <c r="P6" s="128"/>
      <c r="Q6" s="139" t="s">
        <v>1551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IF(FN_MC!B101="","*",FN_MC!B101)</f>
        <v>46064</v>
      </c>
      <c r="B125" s="86" t="str">
        <f>IF(FN_MC!X101="","*",FN_MC!X101)</f>
        <v>Contrato</v>
      </c>
      <c r="C125" s="87" t="str">
        <f>IF(FN_MC!S101="","*",FN_MC!S101)</f>
        <v>FERRONORTE</v>
      </c>
      <c r="D125" s="87" t="str">
        <f>IF(FN_MC!T101="","*",FN_MC!T101)</f>
        <v>TGR-TRO</v>
      </c>
      <c r="E125" s="87" t="str">
        <f>IF(FN_MC!D101="","*",FN_MC!D101)</f>
        <v>V86</v>
      </c>
      <c r="F125" s="87" t="str">
        <f>IF(FN_MC!H101="","*",FN_MC!H101)</f>
        <v>TSF1</v>
      </c>
      <c r="G125" s="87" t="str">
        <f>IF(FN_MC!M101="","*",FN_MC!M101)</f>
        <v>TBS-TAL</v>
      </c>
      <c r="H125" s="125">
        <f>IF(FN_MC!K101="","*",FN_MC!K101)</f>
        <v>665.9</v>
      </c>
      <c r="I125" s="110">
        <f>IF(FN_MC!O101="","*",FN_MC!O101)</f>
        <v>0.4375</v>
      </c>
      <c r="J125" s="110">
        <f>IF(FN_MC!P101="","*",FN_MC!P101)</f>
        <v>0.125</v>
      </c>
      <c r="K125" s="118" t="str">
        <f>IF(FN_MC!AK101="","*",FN_MC!AK101)</f>
        <v>TSF1</v>
      </c>
      <c r="L125" s="118" t="str">
        <f>IF(FN_MC!AM101="","*",FN_MC!AM101)</f>
        <v>TBS-TAL</v>
      </c>
      <c r="M125" s="118">
        <f>IF(FN_MC!AP101="","*",FN_MC!AP101)</f>
        <v>665.9</v>
      </c>
      <c r="N125" s="118" t="str">
        <f>IF(FN_MC!AM101="","*",FN_MC!AM101)</f>
        <v>TBS-TAL</v>
      </c>
      <c r="O125" s="136">
        <f>FN_MC!BH101</f>
        <v>0</v>
      </c>
      <c r="P125" s="78"/>
      <c r="Q125" s="120" t="str">
        <f>IF($A$2=1,IF(FN_MC!BJ101="","*",FN_MC!BJ101),IF(FN_MC!BK101="","*",FN_MC!BK101))</f>
        <v xml:space="preserve">MC1 as 09:58h  - cancelado pelo CCO </v>
      </c>
    </row>
    <row r="126" spans="1:17">
      <c r="A126" s="85">
        <f>IF(FN_MC!B102="","*",FN_MC!B102)</f>
        <v>46064</v>
      </c>
      <c r="B126" s="86" t="str">
        <f>IF(FN_MC!X102="","*",FN_MC!X102)</f>
        <v>Oportunidade</v>
      </c>
      <c r="C126" s="87" t="str">
        <f>IF(FN_MC!S102="","*",FN_MC!S102)</f>
        <v>FERRONORTE</v>
      </c>
      <c r="D126" s="87" t="str">
        <f>IF(FN_MC!T102="","*",FN_MC!T102)</f>
        <v>TGR-TRO</v>
      </c>
      <c r="E126" s="87" t="str">
        <f>IF(FN_MC!D102="","*",FN_MC!D102)</f>
        <v>FRANCISCO (TF-19)</v>
      </c>
      <c r="F126" s="87" t="str">
        <f>IF(FN_MC!H102="","*",FN_MC!H102)</f>
        <v>TEPPAT1</v>
      </c>
      <c r="G126" s="87" t="str">
        <f>IF(FN_MC!M102="","*",FN_MC!M102)</f>
        <v>TEP-TMJ</v>
      </c>
      <c r="H126" s="125">
        <f>IF(FN_MC!K102="","*",FN_MC!K102)</f>
        <v>565</v>
      </c>
      <c r="I126" s="110">
        <f>IF(FN_MC!O102="","*",FN_MC!O102)</f>
        <v>0.375</v>
      </c>
      <c r="J126" s="110">
        <f>IF(FN_MC!P102="","*",FN_MC!P102)</f>
        <v>4.1666666666666664E-2</v>
      </c>
      <c r="K126" s="118" t="str">
        <f>IF(FN_MC!AK102="","*",FN_MC!AK102)</f>
        <v>TEPPAT1</v>
      </c>
      <c r="L126" s="118" t="str">
        <f>IF(FN_MC!AM102="","*",FN_MC!AM102)</f>
        <v>TEP-TMJ</v>
      </c>
      <c r="M126" s="118">
        <f>IF(FN_MC!AP102="","*",FN_MC!AP102)</f>
        <v>565</v>
      </c>
      <c r="N126" s="118" t="str">
        <f>IF(FN_MC!AM102="","*",FN_MC!AM102)</f>
        <v>TEP-TMJ</v>
      </c>
      <c r="O126" s="136">
        <f>FN_MC!BH102</f>
        <v>1</v>
      </c>
      <c r="P126" s="78"/>
      <c r="Q126" s="120" t="str">
        <f>IF($A$2=1,IF(FN_MC!BJ102="","*",FN_MC!BJ102),IF(FN_MC!BK102="","*",FN_MC!BK102))</f>
        <v>Pronto as 11h - Intervalo das 11:50h as 12:50h</v>
      </c>
    </row>
    <row r="127" spans="1:17">
      <c r="A127" s="85">
        <f>IF(FN_MC!B103="","*",FN_MC!B103)</f>
        <v>46064</v>
      </c>
      <c r="B127" s="86" t="str">
        <f>IF(FN_MC!X103="","*",FN_MC!X103)</f>
        <v>Oportunidade</v>
      </c>
      <c r="C127" s="87" t="str">
        <f>IF(FN_MC!S103="","*",FN_MC!S103)</f>
        <v>FERRONORTE</v>
      </c>
      <c r="D127" s="87" t="str">
        <f>IF(FN_MC!T103="","*",FN_MC!T103)</f>
        <v>TGR-TRO</v>
      </c>
      <c r="E127" s="87" t="str">
        <f>IF(FN_MC!D103="","*",FN_MC!D103)</f>
        <v>BRUNO (TF-525)</v>
      </c>
      <c r="F127" s="87" t="str">
        <f>IF(FN_MC!H103="","*",FN_MC!H103)</f>
        <v>TRM</v>
      </c>
      <c r="G127" s="87" t="str">
        <f>IF(FN_MC!M103="","*",FN_MC!M103)</f>
        <v>TRM</v>
      </c>
      <c r="H127" s="125">
        <f>IF(FN_MC!K103="","*",FN_MC!K103)</f>
        <v>548.16</v>
      </c>
      <c r="I127" s="110">
        <f>IF(FN_MC!O103="","*",FN_MC!O103)</f>
        <v>0.33333333333333331</v>
      </c>
      <c r="J127" s="110">
        <f>IF(FN_MC!P103="","*",FN_MC!P103)</f>
        <v>6.25E-2</v>
      </c>
      <c r="K127" s="118" t="str">
        <f>IF(FN_MC!AK103="","*",FN_MC!AK103)</f>
        <v>TRM</v>
      </c>
      <c r="L127" s="118" t="str">
        <f>IF(FN_MC!AM103="","*",FN_MC!AM103)</f>
        <v>TRM</v>
      </c>
      <c r="M127" s="118">
        <f>IF(FN_MC!AP103="","*",FN_MC!AP103)</f>
        <v>548.16</v>
      </c>
      <c r="N127" s="118" t="str">
        <f>IF(FN_MC!AM103="","*",FN_MC!AM103)</f>
        <v>TRM</v>
      </c>
      <c r="O127" s="136">
        <f>FN_MC!BH103</f>
        <v>0</v>
      </c>
      <c r="P127" s="78"/>
      <c r="Q127" s="120" t="str">
        <f>IF($A$2=1,IF(FN_MC!BJ103="","*",FN_MC!BJ103),IF(FN_MC!BK103="","*",FN_MC!BK103))</f>
        <v>Previsão de faixa após o I71</v>
      </c>
    </row>
    <row r="128" spans="1:17">
      <c r="A128" s="85">
        <f>IF(FN_MC!B104="","*",FN_MC!B104)</f>
        <v>46064</v>
      </c>
      <c r="B128" s="86" t="str">
        <f>IF(FN_MC!X104="","*",FN_MC!X104)</f>
        <v>Oportunidade</v>
      </c>
      <c r="C128" s="87" t="str">
        <f>IF(FN_MC!S104="","*",FN_MC!S104)</f>
        <v>FERRONORTE</v>
      </c>
      <c r="D128" s="87" t="str">
        <f>IF(FN_MC!T104="","*",FN_MC!T104)</f>
        <v>TGR-TRO</v>
      </c>
      <c r="E128" s="87" t="str">
        <f>IF(FN_MC!D104="","*",FN_MC!D104)</f>
        <v>W70</v>
      </c>
      <c r="F128" s="87" t="str">
        <f>IF(FN_MC!H104="","*",FN_MC!H104)</f>
        <v>TGR2</v>
      </c>
      <c r="G128" s="87" t="str">
        <f>IF(FN_MC!M104="","*",FN_MC!M104)</f>
        <v>TGR-TIQ</v>
      </c>
      <c r="H128" s="125">
        <f>IF(FN_MC!K104="","*",FN_MC!K104)</f>
        <v>502</v>
      </c>
      <c r="I128" s="110">
        <f>IF(FN_MC!O104="","*",FN_MC!O104)</f>
        <v>0.75</v>
      </c>
      <c r="J128" s="110">
        <f>IF(FN_MC!P104="","*",FN_MC!P104)</f>
        <v>4.1666666666666664E-2</v>
      </c>
      <c r="K128" s="118" t="str">
        <f>IF(FN_MC!AK104="","*",FN_MC!AK104)</f>
        <v>TGR2</v>
      </c>
      <c r="L128" s="118" t="str">
        <f>IF(FN_MC!AM104="","*",FN_MC!AM104)</f>
        <v>TGR-TIQ</v>
      </c>
      <c r="M128" s="118">
        <f>IF(FN_MC!AP104="","*",FN_MC!AP104)</f>
        <v>502</v>
      </c>
      <c r="N128" s="118" t="str">
        <f>IF(FN_MC!AM104="","*",FN_MC!AM104)</f>
        <v>TGR-TIQ</v>
      </c>
      <c r="O128" s="136">
        <f>FN_MC!BH104</f>
        <v>0</v>
      </c>
      <c r="P128" s="78"/>
      <c r="Q128" s="120" t="str">
        <f>IF($A$2=1,IF(FN_MC!BJ104="","*",FN_MC!BJ104),IF(FN_MC!BK104="","*",FN_MC!BK104))</f>
        <v>Em carregamento</v>
      </c>
    </row>
    <row r="129" spans="1:17">
      <c r="A129" s="85">
        <f>IF(FN_MC!B105="","*",FN_MC!B105)</f>
        <v>46064</v>
      </c>
      <c r="B129" s="86" t="str">
        <f>IF(FN_MC!X105="","*",FN_MC!X105)</f>
        <v>Contrato</v>
      </c>
      <c r="C129" s="87" t="str">
        <f>IF(FN_MC!S105="","*",FN_MC!S105)</f>
        <v>FERRONORTE</v>
      </c>
      <c r="D129" s="87" t="str">
        <f>IF(FN_MC!T105="","*",FN_MC!T105)</f>
        <v>TCS-TGR</v>
      </c>
      <c r="E129" s="87" t="str">
        <f>IF(FN_MC!D105="","*",FN_MC!D105)</f>
        <v>ELSON (TF-526)</v>
      </c>
      <c r="F129" s="87" t="str">
        <f>IF(FN_MC!H105="","*",FN_MC!H105)</f>
        <v>-</v>
      </c>
      <c r="G129" s="87" t="str">
        <f>IF(FN_MC!M105="","*",FN_MC!M105)</f>
        <v>TPC-TVL</v>
      </c>
      <c r="H129" s="125">
        <f>IF(FN_MC!K105="","*",FN_MC!K105)</f>
        <v>430.26799999999997</v>
      </c>
      <c r="I129" s="110">
        <f>IF(FN_MC!O105="","*",FN_MC!O105)</f>
        <v>0.375</v>
      </c>
      <c r="J129" s="110">
        <f>IF(FN_MC!P105="","*",FN_MC!P105)</f>
        <v>0.125</v>
      </c>
      <c r="K129" s="118" t="str">
        <f>IF(FN_MC!AK105="","*",FN_MC!AK105)</f>
        <v>-</v>
      </c>
      <c r="L129" s="118" t="str">
        <f>IF(FN_MC!AM105="","*",FN_MC!AM105)</f>
        <v>TPC-TVL</v>
      </c>
      <c r="M129" s="118">
        <f>IF(FN_MC!AP105="","*",FN_MC!AP105)</f>
        <v>430.26799999999997</v>
      </c>
      <c r="N129" s="118" t="str">
        <f>IF(FN_MC!AM105="","*",FN_MC!AM105)</f>
        <v>TPC-TVL</v>
      </c>
      <c r="O129" s="136">
        <f>FN_MC!BH105</f>
        <v>0</v>
      </c>
      <c r="P129" s="78"/>
      <c r="Q129" s="120" t="str">
        <f>IF($A$2=1,IF(FN_MC!BJ105="","*",FN_MC!BJ105),IF(FN_MC!BK105="","*",FN_MC!BK105))</f>
        <v>Sem oportunidade</v>
      </c>
    </row>
    <row r="130" spans="1:17">
      <c r="A130" s="85">
        <f>IF(FN_MC!B106="","*",FN_MC!B106)</f>
        <v>46064</v>
      </c>
      <c r="B130" s="86" t="str">
        <f>IF(FN_MC!X106="","*",FN_MC!X106)</f>
        <v>Contrato</v>
      </c>
      <c r="C130" s="87" t="str">
        <f>IF(FN_MC!S106="","*",FN_MC!S106)</f>
        <v>FERRONORTE</v>
      </c>
      <c r="D130" s="87" t="str">
        <f>IF(FN_MC!T106="","*",FN_MC!T106)</f>
        <v>TMI-TCS</v>
      </c>
      <c r="E130" s="87" t="str">
        <f>IF(FN_MC!D106="","*",FN_MC!D106)</f>
        <v>A60</v>
      </c>
      <c r="F130" s="87" t="str">
        <f>IF(FN_MC!H106="","*",FN_MC!H106)</f>
        <v>TCS291</v>
      </c>
      <c r="G130" s="87" t="str">
        <f>IF(FN_MC!M106="","*",FN_MC!M106)</f>
        <v>TCS-TGR</v>
      </c>
      <c r="H130" s="125">
        <f>IF(FN_MC!K106="","*",FN_MC!K106)</f>
        <v>290.74</v>
      </c>
      <c r="I130" s="110">
        <f>IF(FN_MC!O106="","*",FN_MC!O106)</f>
        <v>0.375</v>
      </c>
      <c r="J130" s="110">
        <f>IF(FN_MC!P106="","*",FN_MC!P106)</f>
        <v>4.1666666666666664E-2</v>
      </c>
      <c r="K130" s="118" t="str">
        <f>IF(FN_MC!AK106="","*",FN_MC!AK106)</f>
        <v>TCS291</v>
      </c>
      <c r="L130" s="118" t="str">
        <f>IF(FN_MC!AM106="","*",FN_MC!AM106)</f>
        <v>TCS-TGR</v>
      </c>
      <c r="M130" s="118">
        <f>IF(FN_MC!AP106="","*",FN_MC!AP106)</f>
        <v>290.74</v>
      </c>
      <c r="N130" s="118" t="str">
        <f>IF(FN_MC!AM106="","*",FN_MC!AM106)</f>
        <v>TCS-TGR</v>
      </c>
      <c r="O130" s="136">
        <f>FN_MC!BH106</f>
        <v>1</v>
      </c>
      <c r="P130" s="78"/>
      <c r="Q130" s="120" t="str">
        <f>IF($A$2=1,IF(FN_MC!BJ106="","*",FN_MC!BJ106),IF(FN_MC!BK106="","*",FN_MC!BK106))</f>
        <v>Licença as 09:16h</v>
      </c>
    </row>
    <row r="131" spans="1:17">
      <c r="A131" s="85">
        <f>IF(FN_MC!B108="","*",FN_MC!B108)</f>
        <v>46064</v>
      </c>
      <c r="B131" s="86" t="str">
        <f>IF(FN_MC!X108="","*",FN_MC!X108)</f>
        <v>Oportunidade</v>
      </c>
      <c r="C131" s="87" t="str">
        <f>IF(FN_MC!S108="","*",FN_MC!S108)</f>
        <v>FERRONORTE</v>
      </c>
      <c r="D131" s="87" t="str">
        <f>IF(FN_MC!T108="","*",FN_MC!T108)</f>
        <v>TMI-TCS</v>
      </c>
      <c r="E131" s="87" t="str">
        <f>IF(FN_MC!D108="","*",FN_MC!D108)</f>
        <v>W50</v>
      </c>
      <c r="F131" s="87" t="str">
        <f>IF(FN_MC!H108="","*",FN_MC!H108)</f>
        <v xml:space="preserve">TCS2 </v>
      </c>
      <c r="G131" s="87" t="str">
        <f>IF(FN_MC!M108="","*",FN_MC!M108)</f>
        <v>TVI-TJA</v>
      </c>
      <c r="H131" s="125">
        <f>IF(FN_MC!K108="","*",FN_MC!K108)</f>
        <v>250</v>
      </c>
      <c r="I131" s="110">
        <f>IF(FN_MC!O108="","*",FN_MC!O108)</f>
        <v>0.375</v>
      </c>
      <c r="J131" s="110">
        <f>IF(FN_MC!P108="","*",FN_MC!P108)</f>
        <v>8.3333333333333329E-2</v>
      </c>
      <c r="K131" s="118" t="str">
        <f>IF(FN_MC!AK108="","*",FN_MC!AK108)</f>
        <v xml:space="preserve">TCS2 </v>
      </c>
      <c r="L131" s="118" t="str">
        <f>IF(FN_MC!AM108="","*",FN_MC!AM108)</f>
        <v>TVI-TJA</v>
      </c>
      <c r="M131" s="118">
        <f>IF(FN_MC!AP108="","*",FN_MC!AP108)</f>
        <v>250</v>
      </c>
      <c r="N131" s="118" t="str">
        <f>IF(FN_MC!AM108="","*",FN_MC!AM108)</f>
        <v>TVI-TJA</v>
      </c>
      <c r="O131" s="136">
        <f>FN_MC!BH108</f>
        <v>0</v>
      </c>
      <c r="P131" s="78"/>
      <c r="Q131" s="120" t="str">
        <f>IF($A$2=1,IF(FN_MC!BJ108="","*",FN_MC!BJ108),IF(FN_MC!BK108="","*",FN_MC!BK108))</f>
        <v>Sem oportunidade de faixa</v>
      </c>
    </row>
    <row r="132" spans="1:17">
      <c r="A132" s="85">
        <f>IF(FN_MC!B109="","*",FN_MC!B109)</f>
        <v>46064</v>
      </c>
      <c r="B132" s="86" t="str">
        <f>IF(FN_MC!X109="","*",FN_MC!X109)</f>
        <v>Oportunidade</v>
      </c>
      <c r="C132" s="87" t="str">
        <f>IF(FN_MC!S109="","*",FN_MC!S109)</f>
        <v>FERRONORTE</v>
      </c>
      <c r="D132" s="87" t="str">
        <f>IF(FN_MC!T109="","*",FN_MC!T109)</f>
        <v>TMI-TCS</v>
      </c>
      <c r="E132" s="87" t="str">
        <f>IF(FN_MC!D109="","*",FN_MC!D109)</f>
        <v>MARCOS (TF-520)</v>
      </c>
      <c r="F132" s="87" t="str">
        <f>IF(FN_MC!H109="","*",FN_MC!H109)</f>
        <v>TAPK35</v>
      </c>
      <c r="G132" s="87" t="str">
        <f>IF(FN_MC!M109="","*",FN_MC!M109)</f>
        <v>TAP-TLG</v>
      </c>
      <c r="H132" s="125">
        <f>IF(FN_MC!K109="","*",FN_MC!K109)</f>
        <v>27.555</v>
      </c>
      <c r="I132" s="110">
        <f>IF(FN_MC!O109="","*",FN_MC!O109)</f>
        <v>0.375</v>
      </c>
      <c r="J132" s="110">
        <f>IF(FN_MC!P109="","*",FN_MC!P109)</f>
        <v>8.3333333333333329E-2</v>
      </c>
      <c r="K132" s="118" t="str">
        <f>IF(FN_MC!AK109="","*",FN_MC!AK109)</f>
        <v>TAPK35</v>
      </c>
      <c r="L132" s="118" t="str">
        <f>IF(FN_MC!AM109="","*",FN_MC!AM109)</f>
        <v>TAP-TLG</v>
      </c>
      <c r="M132" s="118">
        <f>IF(FN_MC!AP109="","*",FN_MC!AP109)</f>
        <v>27.555</v>
      </c>
      <c r="N132" s="118" t="str">
        <f>IF(FN_MC!AM109="","*",FN_MC!AM109)</f>
        <v>TAP-TLG</v>
      </c>
      <c r="O132" s="136">
        <f>FN_MC!BH109</f>
        <v>1</v>
      </c>
      <c r="P132" s="78"/>
      <c r="Q132" s="120" t="str">
        <f>IF($A$2=1,IF(FN_MC!BJ109="","*",FN_MC!BJ109),IF(FN_MC!BK109="","*",FN_MC!BK109))</f>
        <v>Previsão de faixa após I05- Intervalo das 12:3h as 14:33h</v>
      </c>
    </row>
    <row r="133" spans="1:17">
      <c r="A133" s="85">
        <f>IF(FN_MC!B110="","*",FN_MC!B110)</f>
        <v>46064</v>
      </c>
      <c r="B133" s="86" t="str">
        <f>IF(FN_MC!X110="","*",FN_MC!X110)</f>
        <v>Oportunidade</v>
      </c>
      <c r="C133" s="87" t="str">
        <f>IF(FN_MC!S110="","*",FN_MC!S110)</f>
        <v>FERRONORTE</v>
      </c>
      <c r="D133" s="87" t="str">
        <f>IF(FN_MC!T110="","*",FN_MC!T110)</f>
        <v>TMI-TCS</v>
      </c>
      <c r="E133" s="87" t="str">
        <f>IF(FN_MC!D110="","*",FN_MC!D110)</f>
        <v>ANISIO (TF-514)</v>
      </c>
      <c r="F133" s="87" t="str">
        <f>IF(FN_MC!H110="","*",FN_MC!H110)</f>
        <v>TAPK35</v>
      </c>
      <c r="G133" s="87" t="str">
        <f>IF(FN_MC!M110="","*",FN_MC!M110)</f>
        <v>TAP-TLG</v>
      </c>
      <c r="H133" s="125">
        <f>IF(FN_MC!K110="","*",FN_MC!K110)</f>
        <v>27.555</v>
      </c>
      <c r="I133" s="110">
        <f>IF(FN_MC!O110="","*",FN_MC!O110)</f>
        <v>0.375</v>
      </c>
      <c r="J133" s="110">
        <f>IF(FN_MC!P110="","*",FN_MC!P110)</f>
        <v>8.3333333333333329E-2</v>
      </c>
      <c r="K133" s="118" t="str">
        <f>IF(FN_MC!AK110="","*",FN_MC!AK110)</f>
        <v>TAPK35</v>
      </c>
      <c r="L133" s="118" t="str">
        <f>IF(FN_MC!AM110="","*",FN_MC!AM110)</f>
        <v>TAP-TLG</v>
      </c>
      <c r="M133" s="118">
        <f>IF(FN_MC!AP110="","*",FN_MC!AP110)</f>
        <v>27.555</v>
      </c>
      <c r="N133" s="118" t="str">
        <f>IF(FN_MC!AM110="","*",FN_MC!AM110)</f>
        <v>TAP-TLG</v>
      </c>
      <c r="O133" s="136">
        <f>FN_MC!BH110</f>
        <v>1</v>
      </c>
      <c r="P133" s="78"/>
      <c r="Q133" s="120" t="str">
        <f>IF($A$2=1,IF(FN_MC!BJ110="","*",FN_MC!BJ110),IF(FN_MC!BK110="","*",FN_MC!BK110))</f>
        <v>Previsão de faixa após I05- Intervalo das 12:3h as 14:33h</v>
      </c>
    </row>
    <row r="134" spans="1:17">
      <c r="A134" s="85">
        <f>IF(FN_MC!B111="","*",FN_MC!B111)</f>
        <v>46064</v>
      </c>
      <c r="B134" s="86" t="str">
        <f>IF(FN_MC!X111="","*",FN_MC!X111)</f>
        <v>Oportunidade</v>
      </c>
      <c r="C134" s="87" t="str">
        <f>IF(FN_MC!S111="","*",FN_MC!S111)</f>
        <v>MALHA CENTRAL</v>
      </c>
      <c r="D134" s="87" t="str">
        <f>IF(FN_MC!T111="","*",FN_MC!T111)</f>
        <v>PPN-POV</v>
      </c>
      <c r="E134" s="87" t="str">
        <f>IF(FN_MC!D111="","*",FN_MC!D111)</f>
        <v xml:space="preserve">TURMA FIXA VIA </v>
      </c>
      <c r="F134" s="87" t="str">
        <f>IF(FN_MC!H111="","*",FN_MC!H111)</f>
        <v>POVPJA</v>
      </c>
      <c r="G134" s="87" t="str">
        <f>IF(FN_MC!M111="","*",FN_MC!M111)</f>
        <v>PJA-POV</v>
      </c>
      <c r="H134" s="125">
        <f>IF(FN_MC!K111="","*",FN_MC!K111)</f>
        <v>1505.85</v>
      </c>
      <c r="I134" s="110">
        <f>IF(FN_MC!O111="","*",FN_MC!O111)</f>
        <v>0.41666666666666669</v>
      </c>
      <c r="J134" s="110">
        <f>IF(FN_MC!P111="","*",FN_MC!P111)</f>
        <v>8.3333333333333329E-2</v>
      </c>
      <c r="K134" s="118" t="str">
        <f>IF(FN_MC!AK111="","*",FN_MC!AK111)</f>
        <v>POVPJA</v>
      </c>
      <c r="L134" s="118" t="str">
        <f>IF(FN_MC!AM111="","*",FN_MC!AM111)</f>
        <v>PJA-POV</v>
      </c>
      <c r="M134" s="118">
        <f>IF(FN_MC!AP111="","*",FN_MC!AP111)</f>
        <v>1505.85</v>
      </c>
      <c r="N134" s="118" t="str">
        <f>IF(FN_MC!AM111="","*",FN_MC!AM111)</f>
        <v>PJA-POV</v>
      </c>
      <c r="O134" s="136">
        <f>FN_MC!BH111</f>
        <v>2</v>
      </c>
      <c r="P134" s="78"/>
      <c r="Q134" s="120" t="str">
        <f>IF($A$2=1,IF(FN_MC!BJ111="","*",FN_MC!BJ111),IF(FN_MC!BK111="","*",FN_MC!BK111))</f>
        <v>Intervalo das 11:04h as 13:05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>
        <f>IF(FN_MC!B114="","*",FN_MC!B114)</f>
        <v>46065</v>
      </c>
      <c r="B137" s="86" t="str">
        <f>IF(FN_MC!X114="","*",FN_MC!X114)</f>
        <v>Oportunidade</v>
      </c>
      <c r="C137" s="87" t="str">
        <f>IF(FN_MC!S114="","*",FN_MC!S114)</f>
        <v>FERRONORTE</v>
      </c>
      <c r="D137" s="87" t="str">
        <f>IF(FN_MC!T114="","*",FN_MC!T114)</f>
        <v>TGR-TRO</v>
      </c>
      <c r="E137" s="87" t="str">
        <f>IF(FN_MC!D114="","*",FN_MC!D114)</f>
        <v>V86</v>
      </c>
      <c r="F137" s="87" t="str">
        <f>IF(FN_MC!H114="","*",FN_MC!H114)</f>
        <v>TSF1</v>
      </c>
      <c r="G137" s="87" t="str">
        <f>IF(FN_MC!M114="","*",FN_MC!M114)</f>
        <v>TBS-TAL</v>
      </c>
      <c r="H137" s="125">
        <f>IF(FN_MC!K114="","*",FN_MC!K114)</f>
        <v>665.9</v>
      </c>
      <c r="I137" s="110">
        <f>IF(FN_MC!O114="","*",FN_MC!O114)</f>
        <v>0.4375</v>
      </c>
      <c r="J137" s="110">
        <f>IF(FN_MC!P114="","*",FN_MC!P114)</f>
        <v>0.125</v>
      </c>
      <c r="K137" s="118" t="str">
        <f>IF(FN_MC!AK114="","*",FN_MC!AK114)</f>
        <v>TSF1</v>
      </c>
      <c r="L137" s="118" t="str">
        <f>IF(FN_MC!AM114="","*",FN_MC!AM114)</f>
        <v>TBS-TAL</v>
      </c>
      <c r="M137" s="118">
        <f>IF(FN_MC!AP114="","*",FN_MC!AP114)</f>
        <v>665.9</v>
      </c>
      <c r="N137" s="118" t="str">
        <f>IF(FN_MC!AM114="","*",FN_MC!AM114)</f>
        <v>TBS-TAL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>
        <f>IF(FN_MC!B115="","*",FN_MC!B115)</f>
        <v>46065</v>
      </c>
      <c r="B138" s="86" t="str">
        <f>IF(FN_MC!X115="","*",FN_MC!X115)</f>
        <v>Oportunidade</v>
      </c>
      <c r="C138" s="87" t="str">
        <f>IF(FN_MC!S115="","*",FN_MC!S115)</f>
        <v>FERRONORTE</v>
      </c>
      <c r="D138" s="87" t="str">
        <f>IF(FN_MC!T115="","*",FN_MC!T115)</f>
        <v>TGR-TRO</v>
      </c>
      <c r="E138" s="87" t="str">
        <f>IF(FN_MC!D115="","*",FN_MC!D115)</f>
        <v>W70</v>
      </c>
      <c r="F138" s="87" t="str">
        <f>IF(FN_MC!H115="","*",FN_MC!H115)</f>
        <v>TIQ</v>
      </c>
      <c r="G138" s="87" t="str">
        <f>IF(FN_MC!M115="","*",FN_MC!M115)</f>
        <v>TSA-TBS</v>
      </c>
      <c r="H138" s="125">
        <f>IF(FN_MC!K115="","*",FN_MC!K115)</f>
        <v>659</v>
      </c>
      <c r="I138" s="110">
        <f>IF(FN_MC!O115="","*",FN_MC!O115)</f>
        <v>0.41666666666666669</v>
      </c>
      <c r="J138" s="110">
        <f>IF(FN_MC!P115="","*",FN_MC!P115)</f>
        <v>8.3333333333333329E-2</v>
      </c>
      <c r="K138" s="118" t="str">
        <f>IF(FN_MC!AK115="","*",FN_MC!AK115)</f>
        <v>TIQ</v>
      </c>
      <c r="L138" s="118" t="str">
        <f>IF(FN_MC!AM115="","*",FN_MC!AM115)</f>
        <v>TSA-TBS</v>
      </c>
      <c r="M138" s="118">
        <f>IF(FN_MC!AP115="","*",FN_MC!AP115)</f>
        <v>659</v>
      </c>
      <c r="N138" s="118" t="str">
        <f>IF(FN_MC!AM115="","*",FN_MC!AM115)</f>
        <v>TSA-TBS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>
        <f>IF(FN_MC!B117="","*",FN_MC!B117)</f>
        <v>46065</v>
      </c>
      <c r="B140" s="86" t="str">
        <f>IF(FN_MC!X117="","*",FN_MC!X117)</f>
        <v>Oportunidade</v>
      </c>
      <c r="C140" s="87" t="str">
        <f>IF(FN_MC!S117="","*",FN_MC!S117)</f>
        <v>FERRONORTE</v>
      </c>
      <c r="D140" s="87" t="str">
        <f>IF(FN_MC!T117="","*",FN_MC!T117)</f>
        <v>TGR-TRO</v>
      </c>
      <c r="E140" s="87" t="str">
        <f>IF(FN_MC!D117="","*",FN_MC!D117)</f>
        <v>FERNANDO (TF-19)</v>
      </c>
      <c r="F140" s="87" t="str">
        <f>IF(FN_MC!H117="","*",FN_MC!H117)</f>
        <v>TBS671</v>
      </c>
      <c r="G140" s="87" t="str">
        <f>IF(FN_MC!M117="","*",FN_MC!M117)</f>
        <v>TBS-TAL</v>
      </c>
      <c r="H140" s="125">
        <f>IF(FN_MC!K117="","*",FN_MC!K117)</f>
        <v>662.65</v>
      </c>
      <c r="I140" s="110">
        <f>IF(FN_MC!O117="","*",FN_MC!O117)</f>
        <v>0.41666666666666669</v>
      </c>
      <c r="J140" s="110">
        <f>IF(FN_MC!P117="","*",FN_MC!P117)</f>
        <v>4.1666666666666664E-2</v>
      </c>
      <c r="K140" s="118" t="str">
        <f>IF(FN_MC!AK117="","*",FN_MC!AK117)</f>
        <v>TBS671</v>
      </c>
      <c r="L140" s="118" t="str">
        <f>IF(FN_MC!AM117="","*",FN_MC!AM117)</f>
        <v>TBS-TAL</v>
      </c>
      <c r="M140" s="118">
        <f>IF(FN_MC!AP117="","*",FN_MC!AP117)</f>
        <v>662.65</v>
      </c>
      <c r="N140" s="118" t="str">
        <f>IF(FN_MC!AM117="","*",FN_MC!AM117)</f>
        <v>TBS-TAL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>
        <f>IF(FN_MC!B119="","*",FN_MC!B119)</f>
        <v>46065</v>
      </c>
      <c r="B142" s="86" t="str">
        <f>IF(FN_MC!X119="","*",FN_MC!X119)</f>
        <v>Oportunidade</v>
      </c>
      <c r="C142" s="87" t="str">
        <f>IF(FN_MC!S119="","*",FN_MC!S119)</f>
        <v>FERRONORTE</v>
      </c>
      <c r="D142" s="87" t="str">
        <f>IF(FN_MC!T119="","*",FN_MC!T119)</f>
        <v>TGR-TRO</v>
      </c>
      <c r="E142" s="87" t="str">
        <f>IF(FN_MC!D119="","*",FN_MC!D119)</f>
        <v>BRUNO (TF-525)</v>
      </c>
      <c r="F142" s="87" t="str">
        <f>IF(FN_MC!H119="","*",FN_MC!H119)</f>
        <v>TEPPAT1</v>
      </c>
      <c r="G142" s="87" t="str">
        <f>IF(FN_MC!M119="","*",FN_MC!M119)</f>
        <v>TEP-TMJ</v>
      </c>
      <c r="H142" s="125">
        <f>IF(FN_MC!K119="","*",FN_MC!K119)</f>
        <v>565.44100000000003</v>
      </c>
      <c r="I142" s="110">
        <f>IF(FN_MC!O119="","*",FN_MC!O119)</f>
        <v>0.41666666666666669</v>
      </c>
      <c r="J142" s="110">
        <f>IF(FN_MC!P119="","*",FN_MC!P119)</f>
        <v>6.25E-2</v>
      </c>
      <c r="K142" s="118" t="str">
        <f>IF(FN_MC!AK119="","*",FN_MC!AK119)</f>
        <v>TEPPAT1</v>
      </c>
      <c r="L142" s="118" t="str">
        <f>IF(FN_MC!AM119="","*",FN_MC!AM119)</f>
        <v>TEP-TMJ</v>
      </c>
      <c r="M142" s="118">
        <f>IF(FN_MC!AP119="","*",FN_MC!AP119)</f>
        <v>565.44100000000003</v>
      </c>
      <c r="N142" s="118" t="str">
        <f>IF(FN_MC!AM119="","*",FN_MC!AM119)</f>
        <v>TEP-TMJ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>
        <f>IF(FN_MC!B121="","*",FN_MC!B121)</f>
        <v>46065</v>
      </c>
      <c r="B144" s="86" t="str">
        <f>IF(FN_MC!X121="","*",FN_MC!X121)</f>
        <v>Oportunidade</v>
      </c>
      <c r="C144" s="87" t="str">
        <f>IF(FN_MC!S121="","*",FN_MC!S121)</f>
        <v>FERRONORTE</v>
      </c>
      <c r="D144" s="87" t="str">
        <f>IF(FN_MC!T121="","*",FN_MC!T121)</f>
        <v>TMI-TCS</v>
      </c>
      <c r="E144" s="87" t="str">
        <f>IF(FN_MC!D121="","*",FN_MC!D121)</f>
        <v>W50</v>
      </c>
      <c r="F144" s="87" t="str">
        <f>IF(FN_MC!H121="","*",FN_MC!H121)</f>
        <v xml:space="preserve">TCS2 </v>
      </c>
      <c r="G144" s="87" t="str">
        <f>IF(FN_MC!M121="","*",FN_MC!M121)</f>
        <v>TVI-TJA</v>
      </c>
      <c r="H144" s="125">
        <f>IF(FN_MC!K121="","*",FN_MC!K121)</f>
        <v>250</v>
      </c>
      <c r="I144" s="110">
        <f>IF(FN_MC!O121="","*",FN_MC!O121)</f>
        <v>0.375</v>
      </c>
      <c r="J144" s="110">
        <f>IF(FN_MC!P121="","*",FN_MC!P121)</f>
        <v>8.3333333333333329E-2</v>
      </c>
      <c r="K144" s="118" t="str">
        <f>IF(FN_MC!AK121="","*",FN_MC!AK121)</f>
        <v xml:space="preserve">TCS2 </v>
      </c>
      <c r="L144" s="118" t="str">
        <f>IF(FN_MC!AM121="","*",FN_MC!AM121)</f>
        <v>TVI-TJA</v>
      </c>
      <c r="M144" s="118">
        <f>IF(FN_MC!AP121="","*",FN_MC!AP121)</f>
        <v>250</v>
      </c>
      <c r="N144" s="118" t="str">
        <f>IF(FN_MC!AM121="","*",FN_MC!AM121)</f>
        <v>TVI-TJA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8.3333333333333329E-2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TMO1</v>
      </c>
      <c r="G148" s="87" t="str">
        <f>IF(FN_MC!M125="","*",FN_MC!M125)</f>
        <v>TMO</v>
      </c>
      <c r="H148" s="125">
        <f>IF(FN_MC!K125="","*",FN_MC!K125)</f>
        <v>143.35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TMO1</v>
      </c>
      <c r="L148" s="118" t="str">
        <f>IF(FN_MC!AM125="","*",FN_MC!AM125)</f>
        <v>TMO</v>
      </c>
      <c r="M148" s="118">
        <f>IF(FN_MC!AP125="","*",FN_MC!AP125)</f>
        <v>143.35</v>
      </c>
      <c r="N148" s="118" t="str">
        <f>IF(FN_MC!AM125="","*",FN_MC!AM125)</f>
        <v>TMO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>
        <f>IF(FN_MC!B127="","*",FN_MC!B127)</f>
        <v>46065</v>
      </c>
      <c r="B150" s="86" t="str">
        <f>IF(FN_MC!X127="","*",FN_MC!X127)</f>
        <v>Oportunidade</v>
      </c>
      <c r="C150" s="87" t="str">
        <f>IF(FN_MC!S127="","*",FN_MC!S127)</f>
        <v>FERRONORTE</v>
      </c>
      <c r="D150" s="87" t="str">
        <f>IF(FN_MC!T127="","*",FN_MC!T127)</f>
        <v>TMI-TCS</v>
      </c>
      <c r="E150" s="87" t="str">
        <f>IF(FN_MC!D127="","*",FN_MC!D127)</f>
        <v>ANISIO (TF-514)</v>
      </c>
      <c r="F150" s="87" t="str">
        <f>IF(FN_MC!H127="","*",FN_MC!H127)</f>
        <v>TAPK35</v>
      </c>
      <c r="G150" s="87" t="str">
        <f>IF(FN_MC!M127="","*",FN_MC!M127)</f>
        <v>TAP-TLG</v>
      </c>
      <c r="H150" s="125">
        <f>IF(FN_MC!K127="","*",FN_MC!K127)</f>
        <v>26.818999999999999</v>
      </c>
      <c r="I150" s="110">
        <f>IF(FN_MC!O127="","*",FN_MC!O127)</f>
        <v>0.375</v>
      </c>
      <c r="J150" s="110">
        <f>IF(FN_MC!P127="","*",FN_MC!P127)</f>
        <v>8.3333333333333329E-2</v>
      </c>
      <c r="K150" s="118" t="str">
        <f>IF(FN_MC!AK127="","*",FN_MC!AK127)</f>
        <v>TAPK35</v>
      </c>
      <c r="L150" s="118" t="str">
        <f>IF(FN_MC!AM127="","*",FN_MC!AM127)</f>
        <v>TAP-TLG</v>
      </c>
      <c r="M150" s="118">
        <f>IF(FN_MC!AP127="","*",FN_MC!AP127)</f>
        <v>26.818999999999999</v>
      </c>
      <c r="N150" s="118" t="str">
        <f>IF(FN_MC!AM127="","*",FN_MC!AM127)</f>
        <v>TAP-TLG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>
        <f>IF(FN_MC!B129="","*",FN_MC!B129)</f>
        <v>46065</v>
      </c>
      <c r="B152" s="86" t="str">
        <f>IF(FN_MC!X129="","*",FN_MC!X129)</f>
        <v>Oportunidade</v>
      </c>
      <c r="C152" s="87" t="str">
        <f>IF(FN_MC!S129="","*",FN_MC!S129)</f>
        <v>MALHA CENTRAL</v>
      </c>
      <c r="D152" s="87" t="str">
        <f>IF(FN_MC!T129="","*",FN_MC!T129)</f>
        <v>RAMAL</v>
      </c>
      <c r="E152" s="87" t="str">
        <f>IF(FN_MC!D129="","*",FN_MC!D129)</f>
        <v>A88</v>
      </c>
      <c r="F152" s="87" t="str">
        <f>IF(FN_MC!H129="","*",FN_MC!H129)</f>
        <v>ZTP</v>
      </c>
      <c r="G152" s="87" t="str">
        <f>IF(FN_MC!M129="","*",FN_MC!M129)</f>
        <v>ZAY-ZTP</v>
      </c>
      <c r="H152" s="125">
        <f>IF(FN_MC!K129="","*",FN_MC!K129)</f>
        <v>334</v>
      </c>
      <c r="I152" s="110">
        <f>IF(FN_MC!O129="","*",FN_MC!O129)</f>
        <v>0.33333333333333331</v>
      </c>
      <c r="J152" s="110">
        <f>IF(FN_MC!P129="","*",FN_MC!P129)</f>
        <v>4.1666666666666664E-2</v>
      </c>
      <c r="K152" s="118" t="str">
        <f>IF(FN_MC!AK129="","*",FN_MC!AK129)</f>
        <v>ZTP</v>
      </c>
      <c r="L152" s="118" t="str">
        <f>IF(FN_MC!AM129="","*",FN_MC!AM129)</f>
        <v>ZAY-ZTP</v>
      </c>
      <c r="M152" s="118">
        <f>IF(FN_MC!AP129="","*",FN_MC!AP129)</f>
        <v>334</v>
      </c>
      <c r="N152" s="118" t="str">
        <f>IF(FN_MC!AM129="","*",FN_MC!AM129)</f>
        <v>ZAY-ZTP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2026-02-11T17:56:11Z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