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46" documentId="8_{B6337239-1A00-434D-AAD0-422EA1FEB5AE}" xr6:coauthVersionLast="47" xr6:coauthVersionMax="47" xr10:uidLastSave="{87820FA2-B994-4C39-832F-5BAC7E3343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D222" i="1" a="1"/>
  <c r="BD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D223" i="1" a="1"/>
  <c r="BD223" i="1" s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B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D350" i="1" a="1"/>
  <c r="BD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AJ358" i="1"/>
  <c r="AK358" i="1"/>
  <c r="AL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AJ365" i="1"/>
  <c r="AK365" i="1"/>
  <c r="AL365" i="1"/>
  <c r="AN365" i="1"/>
  <c r="AO365" i="1"/>
  <c r="BE365" i="1" s="1"/>
  <c r="AP365" i="1"/>
  <c r="AQ365" i="1"/>
  <c r="BB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N372" i="1"/>
  <c r="AO372" i="1"/>
  <c r="BD372" i="1" s="1" a="1"/>
  <c r="BD372" i="1" s="1"/>
  <c r="AP372" i="1"/>
  <c r="AQ372" i="1"/>
  <c r="BB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92" i="12" l="1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<sst xmlns="http://schemas.openxmlformats.org/spreadsheetml/2006/main" count="8016" uniqueCount="1972">
  <si>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</si>
  <si>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</si>
  <si>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</si>
  <si>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</si>
  <si>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</si>
  <si>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</si>
  <si>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</si>
  <si>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</si>
  <si>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</si>
  <si>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</si>
  <si>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</si>
  <si>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</si>
  <si>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</si>
  <si>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</si>
  <si>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</si>
  <si>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</si>
  <si>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</si>
  <si>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</si>
  <si>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</si>
  <si>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</si>
  <si>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</si>
  <si>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</si>
  <si>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</si>
  <si>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</si>
  <si>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</si>
  <si>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</si>
  <si>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</si>
  <si>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</si>
  <si>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</si>
  <si>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</si>
  <si>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</si>
  <si>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</si>
  <si>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</si>
  <si>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</si>
  <si>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</si>
  <si>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</si>
  <si>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</si>
  <si>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</si>
  <si>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</si>
  <si>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</si>
  <si>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</si>
  <si>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</si>
  <si>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</si>
  <si>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</si>
  <si>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</si>
  <si>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</si>
  <si>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</si>
  <si>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</si>
  <si>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</si>
  <si>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</si>
  <si>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</si>
  <si>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</si>
  <si>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</si>
  <si>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</si>
  <si>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</si>
  <si>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</si>
  <si>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</si>
  <si>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</si>
  <si>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</si>
  <si>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</si>
  <si>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</si>
  <si>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</si>
  <si>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</si>
  <si>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</si>
  <si>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</si>
  <si>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</si>
  <si>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</si>
  <si>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</si>
  <si>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</si>
  <si>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</si>
  <si>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</si>
  <si>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</si>
  <si>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</si>
  <si>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</si>
  <si>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</si>
  <si>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</si>
  <si>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</si>
  <si>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</si>
  <si>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</si>
  <si>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</si>
  <si>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</si>
  <si>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</si>
  <si>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</si>
  <si>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</si>
  <si>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</si>
  <si>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</si>
  <si>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</si>
  <si>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</si>
  <si>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</si>
  <si>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</si>
  <si>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</si>
  <si>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</si>
  <si>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</si>
  <si>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</si>
  <si>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</si>
  <si>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</si>
  <si>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</si>
  <si>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</si>
  <si>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</si>
  <si>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</si>
  <si>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</si>
  <si>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</si>
  <si>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</si>
  <si>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</si>
  <si>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</si>
  <si>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</si>
  <si>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</si>
  <si>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</si>
  <si>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</si>
  <si>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</si>
  <si>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</si>
  <si>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</si>
  <si>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</si>
  <si>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</si>
  <si>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</si>
  <si>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</si>
  <si>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</si>
  <si>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</si>
  <si>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</si>
  <si>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</si>
  <si>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</si>
  <si>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</si>
  <si>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</si>
  <si>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</si>
  <si>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</si>
  <si>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</si>
  <si>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</si>
  <si>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</si>
  <si>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</si>
  <si>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</si>
  <si>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</si>
  <si>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</si>
  <si>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</si>
  <si>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</si>
  <si>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</si>
  <si>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</si>
  <si>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</si>
  <si>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</si>
  <si>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</si>
  <si>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</si>
  <si>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</si>
  <si>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</si>
  <si>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</si>
  <si>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</si>
  <si>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</si>
  <si>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</si>
  <si>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</si>
  <si>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</si>
  <si>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</si>
  <si>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</si>
  <si>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</si>
  <si>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</si>
  <si>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</si>
  <si>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</si>
  <si>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</si>
  <si>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</si>
  <si>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</si>
  <si>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</si>
  <si>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</si>
  <si>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</si>
  <si>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</si>
  <si>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</si>
  <si>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</si>
  <si>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</si>
  <si>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</si>
  <si>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</si>
  <si>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</si>
  <si>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</si>
  <si>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</si>
  <si>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</si>
  <si>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</si>
  <si>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</si>
  <si>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</si>
  <si>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</si>
  <si>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</si>
  <si>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</si>
  <si>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</si>
  <si>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</si>
  <si>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</si>
  <si>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</si>
  <si>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</si>
  <si>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</si>
  <si>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</si>
  <si>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</si>
  <si>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</si>
  <si>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</si>
  <si>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</si>
  <si>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</si>
  <si>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</si>
  <si>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</si>
  <si>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</si>
  <si>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</si>
  <si>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</si>
  <si>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</si>
  <si>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</si>
  <si>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</si>
  <si>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</si>
  <si>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</si>
  <si>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</si>
  <si>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</si>
  <si>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</si>
  <si>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</si>
  <si>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</si>
  <si>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</si>
  <si>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</si>
  <si>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</si>
  <si>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</si>
  <si>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</si>
  <si>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</si>
  <si>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</si>
  <si>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</si>
  <si>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</si>
  <si>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</si>
  <si>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</si>
  <si>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</si>
  <si>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</si>
  <si>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</si>
  <si>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</si>
  <si>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</si>
  <si>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</si>
  <si>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</si>
  <si>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</si>
  <si>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</si>
  <si>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</si>
  <si>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</si>
  <si>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</si>
  <si>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</si>
  <si>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</si>
  <si>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</si>
  <si>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</si>
  <si>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</si>
  <si>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</si>
  <si>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</si>
  <si>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</si>
  <si>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</si>
  <si>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</si>
  <si>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</si>
  <si>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</si>
  <si>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</si>
  <si>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</si>
  <si>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</si>
  <si>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</si>
  <si>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</si>
  <si>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</si>
  <si>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</si>
  <si>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</si>
  <si>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</si>
  <si>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</si>
  <si>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</si>
  <si>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</si>
  <si>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</si>
  <si>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</si>
  <si>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</si>
  <si>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</si>
  <si>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</si>
  <si>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</si>
  <si>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</si>
  <si>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</si>
  <si>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</si>
  <si>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</si>
  <si>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</si>
  <si>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</si>
  <si>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</si>
  <si>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</si>
  <si>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</si>
  <si>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</si>
  <si>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</si>
  <si>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</si>
  <si>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</si>
  <si>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</si>
  <si>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</si>
  <si>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</si>
  <si>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</si>
  <si>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</si>
  <si>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</si>
  <si>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</si>
  <si>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</si>
  <si>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</si>
  <si>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</si>
  <si>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</si>
  <si>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</si>
  <si>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</si>
  <si>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</si>
  <si>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</si>
  <si>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</si>
  <si>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</si>
  <si>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</si>
  <si>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</si>
  <si>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</si>
  <si>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</si>
  <si>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</si>
  <si>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</si>
  <si>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</si>
  <si>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</si>
  <si>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</si>
  <si>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</si>
  <si>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</si>
  <si>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</si>
  <si>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</si>
  <si>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</si>
  <si>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</si>
  <si>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</si>
  <si>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</si>
  <si>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</si>
  <si>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</si>
  <si>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</si>
  <si>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</si>
  <si>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</si>
  <si>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</si>
  <si>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</si>
  <si>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</si>
  <si>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</si>
  <si>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</si>
  <si>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</si>
  <si>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</si>
  <si>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</si>
  <si>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</si>
  <si>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</si>
  <si>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</si>
  <si>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</si>
  <si>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</si>
  <si>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</si>
  <si>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</si>
  <si>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</si>
  <si>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</si>
  <si>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</si>
  <si>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</si>
  <si>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</si>
  <si>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</si>
  <si>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</si>
  <si>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</si>
  <si>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</si>
  <si>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</si>
  <si>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</si>
  <si>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</si>
  <si>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</si>
  <si>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</si>
  <si>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</si>
  <si>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</si>
  <si>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</si>
  <si>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</si>
  <si>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</si>
  <si>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</si>
  <si>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</si>
  <si>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</si>
  <si>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</si>
  <si>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</si>
  <si>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</si>
  <si>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</si>
  <si>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</si>
  <si>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</si>
  <si>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</si>
  <si>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</si>
  <si>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</si>
  <si>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</si>
  <si>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</si>
  <si>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</si>
  <si>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</si>
  <si>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</si>
  <si>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</si>
  <si>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</si>
  <si>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</si>
  <si>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</si>
  <si>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</si>
  <si>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</si>
  <si>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</si>
  <si>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</si>
  <si>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</si>
  <si>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</si>
  <si>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</si>
  <si>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</si>
  <si>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</si>
  <si>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</si>
  <si>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</si>
  <si>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</si>
  <si>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</si>
  <si>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</si>
  <si>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</si>
  <si>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</si>
  <si>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</si>
  <si>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</si>
  <si>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</si>
  <si>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</si>
  <si>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</si>
  <si>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</si>
  <si>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</si>
  <si>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</si>
  <si>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</si>
  <si>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</si>
  <si>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</si>
  <si>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</si>
  <si>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</si>
  <si>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</si>
  <si>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</si>
  <si>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</si>
  <si>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</si>
  <si>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</si>
  <si>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</si>
  <si>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</si>
  <si>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</si>
  <si>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</si>
  <si>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</si>
  <si>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</si>
  <si>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</si>
  <si>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</si>
  <si>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</si>
  <si>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</si>
  <si>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</si>
  <si>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</si>
  <si>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</si>
  <si>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</si>
  <si>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</si>
  <si>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</si>
  <si>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</si>
  <si>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</si>
  <si>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</si>
  <si>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</si>
  <si>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</si>
  <si>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</si>
  <si>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</si>
  <si>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</si>
  <si>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</si>
  <si>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</si>
  <si>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</si>
  <si>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</si>
  <si>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</si>
  <si>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</si>
  <si>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</si>
  <si>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</si>
  <si>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</si>
  <si>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</si>
  <si>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</si>
  <si>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</si>
  <si>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</si>
  <si>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</si>
  <si>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</si>
  <si>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</si>
  <si>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</si>
  <si>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</si>
  <si>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</si>
  <si>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</si>
  <si>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</si>
  <si>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</si>
  <si>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</si>
  <si>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</si>
  <si>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</si>
  <si>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</si>
  <si>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</si>
  <si>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</si>
  <si>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</si>
  <si>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</si>
  <si>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</si>
  <si>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</si>
  <si>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</si>
  <si>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</si>
  <si>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</si>
  <si>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</si>
  <si>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</si>
  <si>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</si>
  <si>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</si>
  <si>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</si>
  <si>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</si>
  <si>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</si>
  <si>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</si>
  <si>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</si>
  <si>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</si>
  <si>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</si>
  <si>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</si>
  <si>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</si>
  <si>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</si>
  <si>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</si>
  <si>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</si>
  <si>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</si>
  <si>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</si>
  <si>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</si>
  <si>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</si>
  <si>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</si>
  <si>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</si>
  <si>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</si>
  <si>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</si>
  <si>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</si>
  <si>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</si>
  <si>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</si>
  <si>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</si>
  <si>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</si>
  <si>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</si>
  <si>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</si>
  <si>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</si>
  <si>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</si>
  <si>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</si>
  <si>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</si>
  <si>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</si>
  <si>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</si>
  <si>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</si>
  <si>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</si>
  <si>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</si>
  <si>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</si>
  <si>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</si>
  <si>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</si>
  <si>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</si>
  <si>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</si>
  <si>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</si>
  <si>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</si>
  <si>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</si>
  <si>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</si>
  <si>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</si>
  <si>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</si>
  <si>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</si>
  <si>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</si>
  <si>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</si>
  <si>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</si>
  <si>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</si>
  <si>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</si>
  <si>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</si>
  <si>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</si>
  <si>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</si>
  <si>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</si>
  <si>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</si>
  <si>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</si>
  <si>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</si>
  <si>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</si>
  <si>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</si>
  <si>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</si>
  <si>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</si>
  <si>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</si>
  <si>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</si>
  <si>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</si>
  <si>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</si>
  <si>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</si>
  <si>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</si>
  <si>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</si>
  <si>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</si>
  <si>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</si>
  <si>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</si>
  <si>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</si>
  <si>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</si>
  <si>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</si>
  <si>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</si>
  <si>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</si>
  <si>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</si>
  <si>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</si>
  <si>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</si>
  <si>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</si>
  <si>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</si>
  <si>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</si>
  <si>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</si>
  <si>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</si>
  <si>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</si>
  <si>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</si>
  <si>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</si>
  <si>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</si>
  <si>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</si>
  <si>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</si>
  <si>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</si>
  <si>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</si>
  <si>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</si>
  <si>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</si>
  <si>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</si>
  <si>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</si>
  <si>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</si>
  <si>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</si>
  <si>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</si>
  <si>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</si>
  <si>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</si>
  <si>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</si>
  <si>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</si>
  <si>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</si>
  <si>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</si>
  <si>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</si>
  <si>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</si>
  <si>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</si>
  <si>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</si>
  <si>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</si>
  <si>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</si>
  <si>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</si>
  <si>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</si>
  <si>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</si>
  <si>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</si>
  <si>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</si>
  <si>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</si>
  <si>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</si>
  <si>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</si>
  <si>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</si>
  <si>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</si>
  <si>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</si>
  <si>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</si>
  <si>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</si>
  <si>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</si>
  <si>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</si>
  <si>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</si>
  <si>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</si>
  <si>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</si>
  <si>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</si>
  <si>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</si>
  <si>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</si>
  <si>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</si>
  <si>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</si>
  <si>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</si>
  <si>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</si>
  <si>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</si>
  <si>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</si>
  <si>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</si>
  <si>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</si>
  <si>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</si>
  <si>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</si>
  <si>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</si>
  <si>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</si>
  <si>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</si>
  <si>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</si>
  <si>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</si>
  <si>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</si>
  <si>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</si>
  <si>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</si>
  <si>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</si>
  <si>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</si>
  <si>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</si>
  <si>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</si>
  <si>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</si>
  <si>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</si>
  <si>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</si>
  <si>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</si>
  <si>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</si>
  <si>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</si>
  <si>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</si>
  <si>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</si>
  <si>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</si>
  <si>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</si>
  <si>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</si>
  <si>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</si>
  <si>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</si>
  <si>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</si>
  <si>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</si>
  <si>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</si>
  <si>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</si>
  <si>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</si>
  <si>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</si>
  <si>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</si>
  <si>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</si>
  <si>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</si>
  <si>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</si>
  <si>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</si>
  <si>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</si>
  <si>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</si>
  <si>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</si>
  <si>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</si>
  <si>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</si>
  <si>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</si>
  <si>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</si>
  <si>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</si>
  <si>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</si>
  <si>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</si>
  <si>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</si>
  <si>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</si>
  <si>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</si>
  <si>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</si>
  <si>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</si>
  <si>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</si>
  <si>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</si>
  <si>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</si>
  <si>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</si>
  <si>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</si>
  <si>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</si>
  <si>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</si>
  <si>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</si>
  <si>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</si>
  <si>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</si>
  <si>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</si>
  <si>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</si>
  <si>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</si>
  <si>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</si>
  <si>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</si>
  <si>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</si>
  <si>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</si>
  <si>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</si>
  <si>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</si>
  <si>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</si>
  <si>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</si>
  <si>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</si>
  <si>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</si>
  <si>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</si>
  <si>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</si>
  <si>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</si>
  <si>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</si>
  <si>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</si>
  <si>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</si>
  <si>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</si>
  <si>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</si>
  <si>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</si>
  <si>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</si>
  <si>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</si>
  <si>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</si>
  <si>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</si>
  <si>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</si>
  <si>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</si>
  <si>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</si>
  <si>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</si>
  <si>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</si>
  <si>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</si>
  <si>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</si>
  <si>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</si>
  <si>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</si>
  <si>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</si>
  <si>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</si>
  <si>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</si>
  <si>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</si>
  <si>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</si>
  <si>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</si>
  <si>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</si>
  <si>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</si>
  <si>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</si>
  <si>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</si>
  <si>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</si>
  <si>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</si>
  <si>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</si>
  <si>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</si>
  <si>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</si>
  <si>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</si>
  <si>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</si>
  <si>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</si>
  <si>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</si>
  <si>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</si>
  <si>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</si>
  <si>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</si>
  <si>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</si>
  <si>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</si>
  <si>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</si>
  <si>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</si>
  <si>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</si>
  <si>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</si>
  <si>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</si>
  <si>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</si>
  <si>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</si>
  <si>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</si>
  <si>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</si>
  <si>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</si>
  <si>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</si>
  <si>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</si>
  <si>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</si>
  <si>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</si>
  <si>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</si>
  <si>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</si>
  <si>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</si>
  <si>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</si>
  <si>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</si>
  <si>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</si>
  <si>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</si>
  <si>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</si>
  <si>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</si>
  <si>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</si>
  <si>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</si>
  <si>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</si>
  <si>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</si>
  <si>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</si>
  <si>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</si>
  <si>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</si>
  <si>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</si>
  <si>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</si>
  <si>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</si>
  <si>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</si>
  <si>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</si>
  <si>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</si>
  <si>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</si>
  <si>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</si>
  <si>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</si>
  <si>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</si>
  <si>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</si>
  <si>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</si>
  <si>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</si>
  <si>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</si>
  <si>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</si>
  <si>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</si>
  <si>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</si>
  <si>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</si>
  <si>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</si>
  <si>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</si>
  <si>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</si>
  <si>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</si>
  <si>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</si>
  <si>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</si>
  <si>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</si>
  <si>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</si>
  <si>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</si>
  <si>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</si>
  <si>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</si>
  <si>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</si>
  <si>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</si>
  <si>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</si>
  <si>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</si>
  <si>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</si>
  <si>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</si>
  <si>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</si>
  <si>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</si>
  <si>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</si>
  <si>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</si>
  <si>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</si>
  <si>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</si>
  <si>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</si>
  <si>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</si>
  <si>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</si>
  <si>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</si>
  <si>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</si>
  <si>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</si>
  <si>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</si>
  <si>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</si>
  <si>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</si>
  <si>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</si>
  <si>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</si>
  <si>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</si>
  <si>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</si>
  <si>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</si>
  <si>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</si>
  <si>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</si>
  <si>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</si>
  <si>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</si>
  <si>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</si>
  <si>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</si>
  <si>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</si>
  <si>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</si>
  <si>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</si>
  <si>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</si>
  <si>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</si>
  <si>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</si>
  <si>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</si>
  <si>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</si>
  <si>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</si>
  <si>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</si>
  <si>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</si>
  <si>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</si>
  <si>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</si>
  <si>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</si>
  <si>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</si>
  <si>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</si>
  <si>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</si>
  <si>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</si>
  <si>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</si>
  <si>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</si>
  <si>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</si>
  <si>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</si>
  <si>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</si>
  <si>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</si>
  <si>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</si>
  <si>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</si>
  <si>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</si>
  <si>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</si>
  <si>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</si>
  <si>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</si>
  <si>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</si>
  <si>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</si>
  <si>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</si>
  <si>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</si>
  <si>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</si>
  <si>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</si>
  <si>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</si>
  <si>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</si>
  <si>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</si>
  <si>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</si>
  <si>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</si>
  <si>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</si>
  <si>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</si>
  <si>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</si>
  <si>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</si>
  <si>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</si>
  <si>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</si>
  <si>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</si>
  <si>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</si>
  <si>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</si>
  <si>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</si>
  <si>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</si>
  <si>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</si>
  <si>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</si>
  <si>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</si>
  <si>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</si>
  <si>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</si>
  <si>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</si>
  <si>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</si>
  <si>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</si>
  <si>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</si>
  <si>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</si>
  <si>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</si>
  <si>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</si>
  <si>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</si>
  <si>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</si>
  <si>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</si>
  <si>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</si>
  <si>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</si>
  <si>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</si>
  <si>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</si>
  <si>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</si>
  <si>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</si>
  <si>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</si>
  <si>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</si>
  <si>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</si>
  <si>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</si>
  <si>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</si>
  <si>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</si>
  <si>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</si>
  <si>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</si>
  <si>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</si>
  <si>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</si>
  <si>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</si>
  <si>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</si>
  <si>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</si>
  <si>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</si>
  <si>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</si>
  <si>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</si>
  <si>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</si>
  <si>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</si>
  <si>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</si>
  <si>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</si>
  <si>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</si>
  <si>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</si>
  <si>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</si>
  <si>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</si>
  <si>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</si>
  <si>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</si>
  <si>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</si>
  <si>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</si>
  <si>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</si>
  <si>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</si>
  <si>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</si>
  <si>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</si>
  <si>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</si>
  <si>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</si>
  <si>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</si>
  <si>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</si>
  <si>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</si>
  <si>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</si>
  <si>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</si>
  <si>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</si>
  <si>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</si>
  <si>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</si>
  <si>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</si>
  <si>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</si>
  <si>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</si>
  <si>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</si>
  <si>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</si>
  <si>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</si>
  <si>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</si>
  <si>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</si>
  <si>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</si>
  <si>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</si>
  <si>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</si>
  <si>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</si>
  <si>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</si>
  <si>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</si>
  <si>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</si>
  <si>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</si>
  <si>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</si>
  <si>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</si>
  <si>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</si>
  <si>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</si>
  <si>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</si>
  <si>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</si>
  <si>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</si>
  <si>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</si>
  <si>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</si>
  <si>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</si>
  <si>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</si>
  <si>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</si>
  <si>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</si>
  <si>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</si>
  <si>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</si>
  <si>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</si>
  <si>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</si>
  <si>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</si>
  <si>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</si>
  <si>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</si>
  <si>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</si>
  <si>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</si>
  <si>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</si>
  <si>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</si>
  <si>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</si>
  <si>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</si>
  <si>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</si>
  <si>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</si>
  <si>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</si>
  <si>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</si>
  <si>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</si>
  <si>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</si>
  <si>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</si>
  <si>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</si>
  <si>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</si>
  <si>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</si>
  <si>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</si>
  <si>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</si>
  <si>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</si>
  <si>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</si>
  <si>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</si>
  <si>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</si>
  <si>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</si>
  <si>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</si>
  <si>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</si>
  <si>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</si>
  <si>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</si>
  <si>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</si>
  <si>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</si>
  <si>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</si>
  <si>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</si>
  <si>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</si>
  <si>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</si>
  <si>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</si>
  <si>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</si>
  <si>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</si>
  <si>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</si>
  <si>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</si>
  <si>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</si>
  <si>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</si>
  <si>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</si>
  <si>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</si>
  <si>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</si>
  <si>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</si>
  <si>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</si>
  <si>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</si>
  <si>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</si>
  <si>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</si>
  <si>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</si>
  <si>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</si>
  <si>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</si>
  <si>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</si>
  <si>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</si>
  <si>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</si>
  <si>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</si>
  <si>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</si>
  <si>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</si>
  <si>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</si>
  <si>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</si>
  <si>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</si>
  <si>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</si>
  <si>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</si>
  <si>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</si>
  <si>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</si>
  <si>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</si>
  <si>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</si>
  <si>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</si>
  <si>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</si>
  <si>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</si>
  <si>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</si>
  <si>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</si>
  <si>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</si>
  <si>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</si>
  <si>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</si>
  <si>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</si>
  <si>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</si>
  <si>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</si>
  <si>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</si>
  <si>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</si>
  <si>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</si>
  <si>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</si>
  <si>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</si>
  <si>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</si>
  <si>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</si>
  <si>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</si>
  <si>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</si>
  <si>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</si>
  <si>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</si>
  <si>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</si>
  <si>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</si>
  <si>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</si>
  <si>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</si>
  <si>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</si>
  <si>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</si>
  <si>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</si>
  <si>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</si>
  <si>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</si>
  <si>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</si>
  <si>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</si>
  <si>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</si>
  <si>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</si>
  <si>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</si>
  <si>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</si>
  <si>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</si>
  <si>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</si>
  <si>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</si>
  <si>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</si>
  <si>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</si>
  <si>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</si>
  <si>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</si>
  <si>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</si>
  <si>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</si>
  <si>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</si>
  <si>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</si>
  <si>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</si>
  <si>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</si>
  <si>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</si>
  <si>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</si>
  <si>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</si>
  <si>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</si>
  <si>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</si>
  <si>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</si>
  <si>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</si>
  <si>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</si>
  <si>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</si>
  <si>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</si>
  <si>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</si>
  <si>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</si>
  <si>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</si>
  <si>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</si>
  <si>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</si>
  <si>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</si>
  <si>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</si>
  <si>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</si>
  <si>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</si>
  <si>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</si>
  <si>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</si>
  <si>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</si>
  <si>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</si>
  <si>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</si>
  <si>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</si>
  <si>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</si>
  <si>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</si>
  <si>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</si>
  <si>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</si>
  <si>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</si>
  <si>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</si>
  <si>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</si>
  <si>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</si>
  <si>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</si>
  <si>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</si>
  <si>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</si>
  <si>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</si>
  <si>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</si>
  <si>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</si>
  <si>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</si>
  <si>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</si>
  <si>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</si>
  <si>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</si>
  <si>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</si>
  <si>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</si>
  <si>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</si>
  <si>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</si>
  <si>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</si>
  <si>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</si>
  <si>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</si>
  <si>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</si>
  <si>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</si>
  <si>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</si>
  <si>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</si>
  <si>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</si>
  <si>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</si>
  <si>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</si>
  <si>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</si>
  <si>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</si>
  <si>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</si>
  <si>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</si>
  <si>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</si>
  <si>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</si>
  <si>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</si>
  <si>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</si>
  <si>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</si>
  <si>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</si>
  <si>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</si>
  <si>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</si>
  <si>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</si>
  <si>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</si>
  <si>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</si>
  <si>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</si>
  <si>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</si>
  <si>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</si>
  <si>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</si>
  <si>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</si>
  <si>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</si>
  <si>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</si>
  <si>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</si>
  <si>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</si>
  <si>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</si>
  <si>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</si>
  <si>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</si>
  <si>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</si>
  <si>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</si>
  <si>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</si>
  <si>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</si>
  <si>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</si>
  <si>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</si>
  <si>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</si>
  <si>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</si>
  <si>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</si>
  <si>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</si>
  <si>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</si>
  <si>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</si>
  <si>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</si>
  <si>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</si>
  <si>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</si>
  <si>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</si>
  <si>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</si>
  <si>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</si>
  <si>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</si>
  <si>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</si>
  <si>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</si>
  <si>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</si>
  <si>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</si>
  <si>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</si>
  <si>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</si>
  <si>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</si>
  <si>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</si>
  <si>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</si>
  <si>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</si>
  <si>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</si>
  <si>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</si>
  <si>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</si>
  <si>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</si>
  <si>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</si>
  <si>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</si>
  <si>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</si>
  <si>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</si>
  <si>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</si>
  <si>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</si>
  <si>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</si>
  <si>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</si>
  <si>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</si>
  <si>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</si>
  <si>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</si>
  <si>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</si>
  <si>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</si>
  <si>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</si>
  <si>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</si>
  <si>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</si>
  <si>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</si>
  <si>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</si>
  <si>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</si>
  <si>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</si>
  <si>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</si>
  <si>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</si>
  <si>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</si>
  <si>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</si>
  <si>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</si>
  <si>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</si>
  <si>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</si>
  <si>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</si>
  <si>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</si>
  <si>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</si>
  <si>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</si>
  <si>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</si>
  <si>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</si>
  <si>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</si>
  <si>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</si>
  <si>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</si>
  <si>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</si>
  <si>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</si>
  <si>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</si>
  <si>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</si>
  <si>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</si>
  <si>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</si>
  <si>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</si>
  <si>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</si>
  <si>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</si>
  <si>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</si>
  <si>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</si>
  <si>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</si>
  <si>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</si>
  <si>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</si>
  <si>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</si>
  <si>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</si>
  <si>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</si>
  <si>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</si>
  <si>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</si>
  <si>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</si>
  <si>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</si>
  <si>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</si>
  <si>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</si>
  <si>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</si>
  <si>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</si>
  <si>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</si>
  <si>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</si>
  <si>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</si>
  <si>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</si>
  <si>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</si>
  <si>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</si>
  <si>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</si>
  <si>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</si>
  <si>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</si>
  <si>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</si>
  <si>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</si>
  <si>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</si>
  <si>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</si>
  <si>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</si>
  <si>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</si>
  <si>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</si>
  <si>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</si>
  <si>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</si>
  <si>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</si>
  <si>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</si>
  <si>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</si>
  <si>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</si>
  <si>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</si>
  <si>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</si>
  <si>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</si>
  <si>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</si>
  <si>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</si>
  <si>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</si>
  <si>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</si>
  <si>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</si>
  <si>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</si>
  <si>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</si>
  <si>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</si>
  <si>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</si>
  <si>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</si>
  <si>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</si>
  <si>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</si>
  <si>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</si>
  <si>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</si>
  <si>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</si>
  <si>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</si>
  <si>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</si>
  <si>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</si>
  <si>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</si>
  <si>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</si>
  <si>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</si>
  <si>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</si>
  <si>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</si>
  <si>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</si>
  <si>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</si>
  <si>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</si>
  <si>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</si>
  <si>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</si>
  <si>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</si>
  <si>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</si>
  <si>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</si>
  <si>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</si>
  <si>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</si>
  <si>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</si>
  <si>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</si>
  <si>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</si>
  <si>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</si>
  <si>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</si>
  <si>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</si>
  <si>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</si>
  <si>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</si>
  <si>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</si>
  <si>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</si>
  <si>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</si>
  <si>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</si>
  <si>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</si>
  <si>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</si>
  <si>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</si>
  <si>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</si>
  <si>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</si>
  <si>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</si>
  <si>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</si>
  <si>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</si>
  <si>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</si>
  <si>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</si>
  <si>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</si>
  <si>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</si>
  <si>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</si>
  <si>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</si>
  <si>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</si>
  <si>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</si>
  <si>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</si>
  <si>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</si>
  <si>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</si>
  <si>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</si>
  <si>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</si>
  <si>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</si>
  <si>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</si>
  <si>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</si>
  <si>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</si>
  <si>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</si>
  <si>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</si>
  <si>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</si>
  <si>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</si>
  <si>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</si>
  <si>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</si>
  <si>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</si>
  <si>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</si>
  <si>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</si>
  <si>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</si>
  <si>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</si>
  <si>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</si>
  <si>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</si>
  <si>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</si>
  <si>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</si>
  <si>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</si>
  <si>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</si>
  <si>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</si>
  <si>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</si>
  <si>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</si>
  <si>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</si>
  <si>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</si>
  <si>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</si>
  <si>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</si>
  <si>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</si>
  <si>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</si>
  <si>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</si>
  <si>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</si>
  <si>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</si>
  <si>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</si>
  <si>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</si>
  <si>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</si>
  <si>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</si>
  <si>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</si>
  <si>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</si>
  <si>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</si>
  <si>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</si>
  <si>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</si>
  <si>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</si>
  <si>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</si>
  <si>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</si>
  <si>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</si>
  <si>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</si>
  <si>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</si>
  <si>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</si>
  <si>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</si>
  <si>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</si>
  <si>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</si>
  <si>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</si>
  <si>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</si>
  <si>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</si>
  <si>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</si>
  <si>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</si>
  <si>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</si>
  <si>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</si>
  <si>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</si>
  <si>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</si>
  <si>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</si>
  <si>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</si>
  <si>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</si>
  <si>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</si>
  <si>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</si>
  <si>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</si>
  <si>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</si>
  <si>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</si>
  <si>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</si>
  <si>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</si>
  <si>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</si>
  <si>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</si>
  <si>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</si>
  <si>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</si>
  <si>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</si>
  <si>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</si>
  <si>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</si>
  <si>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</si>
  <si>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</si>
  <si>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</si>
  <si>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</si>
  <si>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</si>
  <si>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</si>
  <si>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</si>
  <si>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</si>
  <si>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</si>
  <si>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</si>
  <si>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</si>
  <si>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</si>
  <si>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</si>
  <si>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</si>
  <si>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</si>
  <si>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</si>
  <si>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</si>
  <si>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</si>
  <si>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</si>
  <si>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</si>
  <si>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</si>
  <si>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</si>
  <si>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</si>
  <si>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</si>
  <si>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</si>
  <si>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</si>
  <si>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</si>
  <si>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</si>
  <si>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</si>
  <si>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</si>
  <si>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</si>
  <si>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</si>
  <si>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</si>
  <si>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</si>
  <si>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</si>
  <si>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</si>
  <si>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</si>
  <si>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</si>
  <si>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</si>
  <si>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</si>
  <si>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</si>
  <si>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</si>
  <si>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</si>
  <si>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</si>
  <si>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</si>
  <si>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</si>
  <si>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</si>
  <si>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</si>
  <si>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</si>
  <si>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</si>
  <si>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</si>
  <si>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</si>
  <si>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</si>
  <si>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</si>
  <si>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</si>
  <si>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</si>
  <si>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</si>
  <si>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</si>
  <si>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</si>
  <si>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</si>
  <si>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</si>
  <si>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</si>
  <si>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</si>
  <si>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</si>
  <si>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</si>
  <si>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</si>
  <si>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</si>
  <si>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</si>
  <si>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</si>
  <si>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</si>
  <si>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</si>
  <si>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</si>
  <si>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</si>
  <si>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</si>
  <si>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</si>
  <si>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</si>
  <si>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</si>
  <si>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</si>
  <si>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</si>
  <si>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</si>
  <si>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</si>
  <si>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</si>
  <si>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</si>
  <si>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</si>
  <si>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</si>
  <si>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</si>
  <si>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</si>
  <si>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</si>
  <si>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</si>
  <si>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</si>
  <si>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</si>
  <si>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</si>
  <si>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</si>
  <si>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</si>
  <si>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</si>
  <si>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</si>
  <si>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</si>
  <si>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</si>
  <si>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</si>
  <si>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</si>
  <si>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</si>
  <si>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</si>
  <si>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</si>
  <si>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</si>
  <si>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</si>
  <si>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</si>
  <si>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</si>
  <si>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</si>
  <si>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</si>
  <si>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</si>
  <si>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</si>
  <si>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</si>
  <si>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</si>
  <si>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</si>
  <si>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</si>
  <si>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</si>
  <si>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</si>
  <si>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</si>
  <si>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</si>
  <si>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</si>
  <si>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</si>
  <si>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</si>
  <si>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</si>
  <si>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</si>
  <si>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</si>
  <si>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</si>
  <si>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</si>
  <si>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</si>
  <si>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</si>
  <si>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</si>
  <si>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</si>
  <si>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</si>
  <si>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</si>
  <si>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</si>
  <si>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</si>
  <si>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</si>
  <si>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</si>
  <si>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</si>
  <si>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</si>
  <si>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</si>
  <si>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</si>
  <si>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</si>
  <si>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</si>
  <si>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</si>
  <si>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</si>
  <si>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</si>
  <si>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</si>
  <si>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</si>
  <si>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</si>
  <si>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</si>
  <si>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</si>
  <si>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</si>
  <si>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</si>
  <si>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</si>
  <si>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</si>
  <si>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</si>
  <si>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</si>
  <si>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</si>
  <si>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</si>
  <si>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</si>
  <si>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</si>
  <si>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</si>
  <si>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</si>
  <si>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</si>
  <si>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</si>
  <si>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</si>
  <si>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</si>
  <si>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</si>
  <si>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</si>
  <si>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</si>
  <si>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</si>
  <si>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</si>
  <si>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</si>
  <si>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</si>
  <si>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</si>
  <si>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</si>
  <si>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</si>
  <si>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</si>
  <si>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</si>
  <si>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</si>
  <si>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</si>
  <si>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</si>
  <si>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</si>
  <si>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</si>
  <si>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</si>
  <si>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</si>
  <si>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</si>
  <si>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</si>
  <si>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</si>
  <si>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</si>
  <si>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</si>
  <si>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</si>
  <si>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</si>
  <si>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</si>
  <si>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</si>
  <si>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</si>
  <si>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</si>
  <si>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</si>
  <si>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</si>
  <si>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</si>
  <si>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</si>
  <si>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</si>
  <si>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</si>
  <si>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</si>
  <si>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</si>
  <si>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</si>
  <si>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</si>
  <si>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</si>
  <si>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</si>
  <si>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</si>
  <si>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</si>
  <si>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</si>
  <si>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</si>
  <si>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</si>
  <si>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</si>
  <si>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</si>
  <si>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</si>
  <si>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</si>
  <si>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</si>
  <si>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</si>
  <si>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</si>
  <si>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</si>
  <si>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</si>
  <si>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</si>
  <si>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</si>
  <si>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</si>
  <si>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</si>
  <si>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</si>
  <si>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</si>
  <si>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</si>
  <si>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</si>
  <si>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</si>
  <si>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</si>
  <si>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</si>
  <si>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</si>
  <si>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</si>
  <si>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</si>
  <si>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</si>
  <si>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</si>
  <si>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</si>
  <si>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</si>
  <si>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</si>
  <si>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</si>
  <si>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</si>
  <si>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</si>
  <si>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</si>
  <si>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</si>
  <si>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</si>
  <si>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</si>
  <si>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</si>
  <si>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</si>
  <si>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</si>
  <si>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</si>
  <si>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</si>
  <si>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</si>
  <si>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</si>
  <si>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</si>
  <si>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</si>
  <si>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</si>
  <si>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</si>
  <si>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</si>
  <si>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</si>
  <si>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</si>
  <si>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</si>
  <si>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</si>
  <si>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</si>
  <si>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</si>
  <si>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</si>
  <si>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</si>
  <si>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</si>
  <si>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</si>
  <si>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</si>
  <si>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</si>
  <si>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</si>
  <si>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</si>
  <si>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</si>
  <si>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</si>
  <si>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</si>
  <si>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</si>
  <si>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</si>
  <si>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</si>
  <si>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</si>
  <si>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</si>
  <si>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</si>
  <si>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</si>
  <si>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</si>
  <si>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</si>
  <si>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</si>
  <si>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</si>
  <si>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</si>
  <si>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</si>
  <si>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</si>
  <si>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</si>
  <si>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</si>
  <si>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</si>
  <si>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</si>
  <si>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</si>
  <si>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</si>
  <si>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</si>
  <si>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</si>
  <si>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</si>
  <si>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</si>
  <si>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</si>
  <si>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</si>
  <si>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</si>
  <si>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</si>
  <si>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</si>
  <si>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</si>
  <si>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</si>
  <si>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</si>
  <si>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</si>
  <si>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</si>
  <si>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</si>
  <si>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</si>
  <si>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</si>
  <si>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</si>
  <si>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</si>
  <si>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</si>
  <si>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</si>
  <si>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</si>
  <si>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</si>
  <si>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</si>
  <si>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</si>
  <si>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</si>
  <si>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</si>
  <si>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</si>
  <si>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</si>
  <si>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</si>
  <si>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</si>
  <si>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</si>
  <si>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</si>
  <si>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</si>
  <si>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</si>
  <si>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</si>
  <si>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</si>
  <si>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</si>
  <si>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</si>
  <si>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</si>
  <si>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</si>
  <si>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</si>
  <si>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</si>
  <si>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</si>
  <si>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</si>
  <si>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</si>
  <si>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</si>
  <si>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</si>
  <si>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</si>
  <si>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</si>
  <si>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</si>
  <si>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</si>
  <si>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</si>
  <si>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</si>
  <si>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</si>
  <si>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</si>
  <si>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</si>
  <si>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</si>
  <si>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</si>
  <si>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</si>
  <si>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</si>
  <si>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</si>
  <si>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</si>
  <si>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</si>
  <si>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</si>
  <si>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</si>
  <si>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</si>
  <si>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</si>
  <si>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</si>
  <si>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</si>
  <si>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</si>
  <si>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</si>
  <si>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</si>
  <si>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</si>
  <si>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</si>
  <si>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</si>
  <si>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</si>
  <si>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</si>
  <si>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</si>
  <si>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</si>
  <si>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</si>
  <si>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</si>
  <si>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</si>
  <si>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</si>
  <si>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</si>
  <si>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</si>
  <si>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</si>
  <si>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</si>
  <si>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</si>
  <si>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</si>
  <si>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</si>
  <si>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</si>
  <si>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</si>
  <si>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</si>
  <si>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</si>
  <si>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</si>
  <si>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</si>
  <si>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</si>
  <si>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</si>
  <si>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</si>
  <si>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</si>
  <si>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</si>
  <si>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</si>
  <si>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</si>
  <si>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</si>
  <si>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</si>
  <si>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</si>
  <si>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</si>
  <si>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</si>
  <si>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</si>
  <si>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</si>
  <si>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</si>
  <si>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</si>
  <si>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</si>
  <si>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</si>
  <si>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</si>
  <si>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</si>
  <si>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</si>
  <si>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</si>
  <si>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</si>
  <si>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</si>
  <si>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</si>
  <si>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</si>
  <si>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</si>
  <si>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</si>
  <si>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</si>
  <si>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</si>
  <si>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</si>
  <si>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</si>
  <si>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</si>
  <si>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</si>
  <si>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</si>
  <si>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</si>
  <si>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</si>
  <si>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</si>
  <si>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</si>
  <si>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</si>
  <si>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</si>
  <si>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</si>
  <si>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</si>
  <si>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</si>
  <si>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</si>
  <si>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</si>
  <si>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</si>
  <si>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</si>
  <si>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</si>
  <si>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</si>
  <si>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</si>
  <si>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</si>
  <si>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</si>
  <si>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</si>
  <si>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</si>
  <si>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</si>
  <si>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</si>
  <si>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</si>
  <si>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</si>
  <si>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</si>
  <si>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</si>
  <si>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</si>
  <si>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</si>
  <si>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</si>
  <si>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</si>
  <si>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</si>
  <si>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</si>
  <si>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</si>
  <si>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</si>
  <si>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</si>
  <si>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</si>
  <si>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</si>
  <si>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</si>
  <si>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</si>
  <si>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</si>
  <si>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</si>
  <si>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</si>
  <si>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</si>
  <si>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</si>
  <si>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</si>
  <si>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</si>
  <si>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</si>
  <si>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</si>
  <si>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</si>
  <si>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</si>
  <si>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</si>
  <si>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</si>
  <si>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</si>
  <si>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</si>
  <si>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</si>
  <si>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</si>
  <si>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</si>
  <si>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Execução de solda  linha principal</t>
  </si>
  <si>
    <t>Inspeção de auto, 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</si>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</sst>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63" activePane="topRight" state="frozen"/>
      <selection pane="topRight" activeCell="B474" sqref="B4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785</v>
      </c>
      <c r="G473" s="154" t="str">
        <f>IF(D473="","*",VLOOKUP(F473,BS_ATIVIDADE[#All],3,FALSE))</f>
        <v>PEDRA</v>
      </c>
      <c r="H473" s="158"/>
      <c r="I473" s="158"/>
      <c r="J473" s="219">
        <v>98</v>
      </c>
      <c r="K473" s="415">
        <v>710</v>
      </c>
      <c r="L473" s="416">
        <v>708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3" s="193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3" s="158"/>
      <c r="P473" s="158"/>
      <c r="Q473" s="171"/>
      <c r="R473" s="10" t="str">
        <f>IFERROR(_xlfn.XLOOKUP(F473, BS_ATIVIDADE[ATIVIDADE],BS_ATIVIDADE[UNIDADE] ), "*")</f>
        <v>VAGÕES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PEDRA - DESCARGA</v>
      </c>
      <c r="AJ473" s="9" t="str">
        <f>IF(D473="","*",VLOOKUP(AI473,BS_ATIVIDADE[#Data],3,FALSE))</f>
        <v>PEDRA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TAL-TSF</v>
      </c>
      <c r="AN473" s="283">
        <f>IF(BS_CONTROLE[[#This Row],[SB]]=0, "-", BS_CONTROLE[[#This Row],[SB]])</f>
        <v>699710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710</v>
      </c>
      <c r="AQ473" s="268">
        <f>IF(BS_CONTROLE[[#This Row],[KM - Fim]]=0, "-", BS_CONTROLE[[#This Row],[KM - Fim]])</f>
        <v>708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VAGÕES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e">
        <f t="shared" si="11"/>
        <v>#DIV/0!</v>
      </c>
      <c r="BR473" s="18" t="e">
        <f t="shared" si="12"/>
        <v>#DIV/0!</v>
      </c>
      <c r="BS473" s="18" t="e">
        <f t="shared" si="13"/>
        <v>#DIV/0!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E4646051</v>
      </c>
      <c r="B474" s="162">
        <v>46051</v>
      </c>
      <c r="C474" s="8">
        <f>IF(BS_CONTROLE[[#This Row],[DATA]]="","",WEEKNUM(BS_CONTROLE[[#This Row],[DATA]]))</f>
        <v>5</v>
      </c>
      <c r="D474" s="51" t="s">
        <v>757</v>
      </c>
      <c r="E474" s="289">
        <v>575</v>
      </c>
      <c r="F474" s="156" t="s">
        <v>677</v>
      </c>
      <c r="G474" s="154" t="str">
        <f>IF(D474="","*",VLOOKUP(F474,BS_ATIVIDADE[#All],3,FALSE))</f>
        <v>TRILHEIRO - DESCARGA</v>
      </c>
      <c r="H474" s="158" t="s">
        <v>597</v>
      </c>
      <c r="I474" s="158" t="s">
        <v>1890</v>
      </c>
      <c r="J474" s="219">
        <v>98</v>
      </c>
      <c r="K474" s="219">
        <v>532.83100000000002</v>
      </c>
      <c r="L474" s="171">
        <v>531.51</v>
      </c>
      <c r="M474" s="193" t="s">
        <v>23</v>
      </c>
      <c r="N474" s="193" t="s">
        <v>24</v>
      </c>
      <c r="O474" s="158">
        <v>0.45833333333333331</v>
      </c>
      <c r="P474" s="158">
        <v>0.125</v>
      </c>
      <c r="Q474" s="171">
        <v>1248</v>
      </c>
      <c r="R474" s="10" t="s">
        <v>636</v>
      </c>
      <c r="S474" s="13" t="s">
        <v>14</v>
      </c>
      <c r="T474" s="13" t="s">
        <v>18</v>
      </c>
      <c r="U474" s="155" t="s">
        <v>17</v>
      </c>
      <c r="V474" s="282" t="s">
        <v>1338</v>
      </c>
      <c r="W474" s="335" t="s">
        <v>1891</v>
      </c>
      <c r="X474" s="205" t="s">
        <v>968</v>
      </c>
      <c r="Y474" s="173" t="s">
        <v>967</v>
      </c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TRILHEIRO - DESCARGA</v>
      </c>
      <c r="AJ474" s="9" t="str">
        <f>IF(D474="","*",VLOOKUP(AI474,BS_ATIVIDADE[#Data],3,FALSE))</f>
        <v>TRILHEIRO - DESCARGA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TCS/TIN</v>
      </c>
      <c r="AM474" s="283" t="str">
        <f>IF(BS_CONTROLE[[#This Row],[Entre - Estações]]=0, "-", BS_CONTROLE[[#This Row],[Entre - Estações]])</f>
        <v>TBE-TRM</v>
      </c>
      <c r="AN474" s="283" t="str">
        <f>IF(BS_CONTROLE[[#This Row],[SB]]=0, "-", BS_CONTROLE[[#This Row],[SB]])</f>
        <v>TBE539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532.83100000000002</v>
      </c>
      <c r="AQ474" s="268">
        <f>IF(BS_CONTROLE[[#This Row],[KM - Fim]]=0, "-", BS_CONTROLE[[#This Row],[KM - Fim]])</f>
        <v>531.51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M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1917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1918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1920</v>
      </c>
      <c r="E3" s="291" t="s">
        <v>1921</v>
      </c>
      <c r="F3" s="291" t="s">
        <v>1922</v>
      </c>
      <c r="G3" s="291" t="s">
        <v>1923</v>
      </c>
      <c r="H3" s="291" t="s">
        <v>1924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1926</v>
      </c>
      <c r="G10" s="292" t="s">
        <v>1927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1928</v>
      </c>
      <c r="G11" s="292" t="s">
        <v>1929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1930</v>
      </c>
      <c r="G12" s="292" t="s">
        <v>1929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1932</v>
      </c>
      <c r="C4" s="296" t="s">
        <v>1933</v>
      </c>
      <c r="D4" s="296" t="s">
        <v>1934</v>
      </c>
      <c r="E4" s="296" t="s">
        <v>1935</v>
      </c>
      <c r="F4" s="296" t="s">
        <v>7</v>
      </c>
      <c r="G4" s="296" t="s">
        <v>1936</v>
      </c>
      <c r="H4" s="181"/>
    </row>
    <row r="5" spans="1:8">
      <c r="A5" s="181"/>
      <c r="B5" s="297" t="s">
        <v>1937</v>
      </c>
      <c r="C5" s="297">
        <v>309525</v>
      </c>
      <c r="D5" s="297" t="s">
        <v>1938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1939</v>
      </c>
      <c r="C6" s="297">
        <v>257410</v>
      </c>
      <c r="D6" s="297" t="s">
        <v>1940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1941</v>
      </c>
      <c r="C7" s="297">
        <v>256875</v>
      </c>
      <c r="D7" s="297" t="s">
        <v>1942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1943</v>
      </c>
      <c r="C8" s="297">
        <v>257278</v>
      </c>
      <c r="D8" s="297" t="s">
        <v>1944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1945</v>
      </c>
      <c r="C9" s="297">
        <v>261794</v>
      </c>
      <c r="D9" s="297" t="s">
        <v>1946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1947</v>
      </c>
      <c r="C10" s="297">
        <v>257033</v>
      </c>
      <c r="D10" s="297" t="s">
        <v>1948</v>
      </c>
      <c r="E10" s="297" t="s">
        <v>838</v>
      </c>
      <c r="F10" s="297" t="s">
        <v>194</v>
      </c>
      <c r="G10" s="297" t="s">
        <v>1949</v>
      </c>
      <c r="H10" s="181"/>
    </row>
    <row r="11" spans="1:8">
      <c r="A11" s="181"/>
      <c r="B11" s="297" t="s">
        <v>1950</v>
      </c>
      <c r="C11" s="297">
        <v>396578</v>
      </c>
      <c r="D11" s="297" t="s">
        <v>1951</v>
      </c>
      <c r="E11" s="297" t="s">
        <v>838</v>
      </c>
      <c r="F11" s="297" t="s">
        <v>194</v>
      </c>
      <c r="G11" s="297" t="s">
        <v>1949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1952</v>
      </c>
      <c r="W1" s="406"/>
      <c r="X1" s="406"/>
      <c r="Y1" s="103"/>
    </row>
    <row r="2" spans="1:25" s="100" customFormat="1" ht="11.25" customHeight="1">
      <c r="A2" s="104" t="s">
        <v>1953</v>
      </c>
      <c r="B2" s="104" t="s">
        <v>1954</v>
      </c>
      <c r="C2" s="104" t="s">
        <v>605</v>
      </c>
      <c r="D2" s="105" t="s">
        <v>1178</v>
      </c>
      <c r="E2" s="105" t="s">
        <v>1179</v>
      </c>
      <c r="F2" s="105" t="s">
        <v>1955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PDM - PEDRA - DESCARGA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TAL-TSF</v>
      </c>
      <c r="L470" s="303">
        <f>IF(FN_MC!N473="","*",FN_MC!N473)</f>
        <v>699710</v>
      </c>
      <c r="M470" s="110">
        <f>IF(FN_MC!J473="","*",FN_MC!J473)</f>
        <v>98</v>
      </c>
      <c r="N470" s="278">
        <f>IF(FN_MC!K473="","*",FN_MC!K473)</f>
        <v>710</v>
      </c>
      <c r="O470" s="278">
        <f>IF(FN_MC!L473="","*",FN_MC!L473)</f>
        <v>708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Camila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SIM</v>
      </c>
      <c r="B471" s="108" t="str">
        <f>IF(FN_MC!X474="","*",FN_MC!X474)</f>
        <v>Contrato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TGR-TRO</v>
      </c>
      <c r="F471" s="109">
        <f>IF(FN_MC!B474="","*",FN_MC!B474)</f>
        <v>46051</v>
      </c>
      <c r="G471" s="109" t="str">
        <f>IF(FN_MC!D474="","*",FN_MC!D474)</f>
        <v>E46</v>
      </c>
      <c r="H471" s="109" t="str">
        <f>IF(FN_MC!F474="","*",FN_MC!F474)</f>
        <v>TRILHEIRO - DESCARGA</v>
      </c>
      <c r="I471" s="109" t="str">
        <f>IF(FN_MC!H474="","*",FN_MC!H474)</f>
        <v>TGR2</v>
      </c>
      <c r="J471" s="109" t="str">
        <f>IF(FN_MC!I474="","*",FN_MC!I474)</f>
        <v>TCS/TIN</v>
      </c>
      <c r="K471" s="109" t="str">
        <f>IF(FN_MC!M474="","*",FN_MC!M474)</f>
        <v>TBE-TRM</v>
      </c>
      <c r="L471" s="303" t="str">
        <f>IF(FN_MC!N474="","*",FN_MC!N474)</f>
        <v>TBE539</v>
      </c>
      <c r="M471" s="110">
        <f>IF(FN_MC!J474="","*",FN_MC!J474)</f>
        <v>98</v>
      </c>
      <c r="N471" s="278">
        <f>IF(FN_MC!K474="","*",FN_MC!K474)</f>
        <v>532.83100000000002</v>
      </c>
      <c r="O471" s="278">
        <f>IF(FN_MC!L474="","*",FN_MC!L474)</f>
        <v>531.51</v>
      </c>
      <c r="P471" s="110"/>
      <c r="Q471" s="127">
        <f>IF(FN_MC!O474="","*",FN_MC!O474)</f>
        <v>0.45833333333333331</v>
      </c>
      <c r="R471" s="127">
        <f>IF(FN_MC!P474="","*",FN_MC!P474)</f>
        <v>0.125</v>
      </c>
      <c r="S471" s="109" t="str">
        <f>IF(FN_MC!Q474="","*",CONCATENATE(FN_MC!Q474," ",FN_MC!R474))</f>
        <v>1248 M</v>
      </c>
      <c r="T471" s="109" t="str">
        <f>IF(FN_MC!V474="","*",FN_MC!V474)</f>
        <v>Camila</v>
      </c>
      <c r="U471" s="109" t="str">
        <f>IF(FN_MC!W474="","*",FN_MC!W474)</f>
        <v>2 barras - 98/532291-532831tg
2 barras - 98/531510-531970tg após descarga segue para TIN, ou TCS se não tiver jornada pra prosseguir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1958</v>
      </c>
      <c r="C2" s="95" t="s">
        <v>1163</v>
      </c>
      <c r="D2" s="95" t="s">
        <v>1165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0" t="s">
        <v>1965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TAL-TSF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SIM</v>
      </c>
      <c r="C579" s="120">
        <f>IF(FN_MC!B474="","*",FN_MC!B474)</f>
        <v>46051</v>
      </c>
      <c r="D579" s="120" t="str">
        <f>IF(FN_MC!D474="","*",FN_MC!D474)</f>
        <v>E46</v>
      </c>
      <c r="E579" s="120" t="str">
        <f>IF(FN_MC!H474="","*",FN_MC!H474)</f>
        <v>TGR2</v>
      </c>
      <c r="F579" s="136" t="str">
        <f>IF(FN_MC!M474="","*",FN_MC!M474)</f>
        <v>TBE-TRM</v>
      </c>
      <c r="G579" s="120" t="str">
        <f>IF(FN_MC!I474="","*",FN_MC!I474)</f>
        <v>TCS/TIN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1966</v>
      </c>
      <c r="D5" s="408"/>
      <c r="E5" s="408"/>
      <c r="F5" s="408"/>
      <c r="G5" s="408"/>
      <c r="H5" s="408"/>
      <c r="I5" s="408"/>
      <c r="J5" s="409"/>
      <c r="K5" s="410" t="s">
        <v>1967</v>
      </c>
      <c r="L5" s="411"/>
      <c r="M5" s="411"/>
      <c r="N5" s="411"/>
      <c r="O5" s="412" t="s">
        <v>1968</v>
      </c>
      <c r="P5" s="413"/>
      <c r="Q5" s="414"/>
    </row>
    <row r="6" spans="1:17" s="93" customFormat="1" ht="15.75" customHeight="1">
      <c r="A6" s="87" t="s">
        <v>1955</v>
      </c>
      <c r="B6" s="94" t="s">
        <v>1954</v>
      </c>
      <c r="C6" s="95" t="s">
        <v>1178</v>
      </c>
      <c r="D6" s="96" t="s">
        <v>1179</v>
      </c>
      <c r="E6" s="95" t="s">
        <v>1969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1970</v>
      </c>
      <c r="M6" s="138" t="s">
        <v>628</v>
      </c>
      <c r="N6" s="139" t="s">
        <v>1173</v>
      </c>
      <c r="O6" s="233" t="s">
        <v>1216</v>
      </c>
      <c r="P6" s="152"/>
      <c r="Q6" s="182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TAL-TSF</v>
      </c>
      <c r="H562" s="149">
        <f>IF(FN_MC!K473="","*",FN_MC!K473)</f>
        <v>710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TAL-TSF</v>
      </c>
      <c r="M562" s="140">
        <f>IF(FN_MC!AP473="","*",FN_MC!AP473)</f>
        <v>710</v>
      </c>
      <c r="N562" s="140" t="str">
        <f>IF(FN_MC!AM473="","*",FN_MC!AM473)</f>
        <v>TAL-TSF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>
        <f>IF(FN_MC!B474="","*",FN_MC!B474)</f>
        <v>46051</v>
      </c>
      <c r="B563" s="98" t="str">
        <f>IF(FN_MC!X474="","*",FN_MC!X474)</f>
        <v>Contrato</v>
      </c>
      <c r="C563" s="99" t="str">
        <f>IF(FN_MC!S474="","*",FN_MC!S474)</f>
        <v>FERRONORTE</v>
      </c>
      <c r="D563" s="99" t="str">
        <f>IF(FN_MC!T474="","*",FN_MC!T474)</f>
        <v>TGR-TRO</v>
      </c>
      <c r="E563" s="99" t="str">
        <f>IF(FN_MC!D474="","*",FN_MC!D474)</f>
        <v>E46</v>
      </c>
      <c r="F563" s="99" t="str">
        <f>IF(FN_MC!H474="","*",FN_MC!H474)</f>
        <v>TGR2</v>
      </c>
      <c r="G563" s="99" t="str">
        <f>IF(FN_MC!M474="","*",FN_MC!M474)</f>
        <v>TBE-TRM</v>
      </c>
      <c r="H563" s="149">
        <f>IF(FN_MC!K474="","*",FN_MC!K474)</f>
        <v>532.83100000000002</v>
      </c>
      <c r="I563" s="131">
        <f>IF(FN_MC!O474="","*",FN_MC!O474)</f>
        <v>0.45833333333333331</v>
      </c>
      <c r="J563" s="131">
        <f>IF(FN_MC!P474="","*",FN_MC!P474)</f>
        <v>0.125</v>
      </c>
      <c r="K563" s="140" t="str">
        <f>IF(FN_MC!AK474="","*",FN_MC!AK474)</f>
        <v>TGR2</v>
      </c>
      <c r="L563" s="140" t="str">
        <f>IF(FN_MC!AM474="","*",FN_MC!AM474)</f>
        <v>TBE-TRM</v>
      </c>
      <c r="M563" s="140">
        <f>IF(FN_MC!AP474="","*",FN_MC!AP474)</f>
        <v>532.83100000000002</v>
      </c>
      <c r="N563" s="140" t="str">
        <f>IF(FN_MC!AM474="","*",FN_MC!AM474)</f>
        <v>TBE-TRM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