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13" documentId="8_{B6337239-1A00-434D-AAD0-422EA1FEB5AE}" xr6:coauthVersionLast="47" xr6:coauthVersionMax="47" xr10:uidLastSave="{83A29978-5D00-4776-ACD1-4DAC98F1E1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6" i="1" l="1"/>
  <c r="N235" i="1" a="1"/>
  <c r="N235" i="1" s="1"/>
  <c r="M235" i="1" a="1"/>
  <c r="M235" i="1" s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5" i="1" l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<sst xmlns="http://schemas.openxmlformats.org/spreadsheetml/2006/main" count="7908" uniqueCount="1778">
  <si>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</si>
  <si>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</si>
  <si>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</si>
  <si>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</si>
  <si>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</si>
  <si>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</si>
  <si>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</si>
  <si>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</si>
  <si>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</si>
  <si>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</si>
  <si>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</si>
  <si>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</si>
  <si>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</si>
  <si>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</si>
  <si>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</si>
  <si>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</si>
  <si>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</si>
  <si>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</si>
  <si>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</si>
  <si>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</si>
  <si>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</si>
  <si>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</si>
  <si>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</si>
  <si>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</si>
  <si>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</si>
  <si>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</si>
  <si>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</si>
  <si>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</si>
  <si>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</si>
  <si>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</si>
  <si>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</si>
  <si>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</si>
  <si>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</si>
  <si>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</si>
  <si>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</si>
  <si>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</si>
  <si>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</si>
  <si>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</si>
  <si>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</si>
  <si>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</si>
  <si>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</si>
  <si>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</si>
  <si>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</si>
  <si>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</si>
  <si>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</si>
  <si>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</si>
  <si>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</si>
  <si>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</si>
  <si>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</si>
  <si>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</si>
  <si>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</si>
  <si>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</si>
  <si>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</si>
  <si>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</si>
  <si>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</si>
  <si>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</si>
  <si>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</si>
  <si>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</si>
  <si>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</si>
  <si>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</si>
  <si>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</si>
  <si>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</si>
  <si>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</si>
  <si>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</si>
  <si>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</si>
  <si>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</si>
  <si>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</si>
  <si>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</si>
  <si>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</si>
  <si>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</si>
  <si>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</si>
  <si>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</si>
  <si>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</si>
  <si>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</si>
  <si>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</si>
  <si>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</si>
  <si>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</si>
  <si>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</si>
  <si>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</si>
  <si>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</si>
  <si>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</si>
  <si>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</si>
  <si>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</si>
  <si>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</si>
  <si>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</si>
  <si>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</si>
  <si>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</si>
  <si>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</si>
  <si>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</si>
  <si>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</si>
  <si>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</si>
  <si>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</si>
  <si>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</si>
  <si>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</si>
  <si>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</si>
  <si>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</si>
  <si>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</si>
  <si>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</si>
  <si>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</si>
  <si>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</si>
  <si>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</si>
  <si>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</si>
  <si>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</si>
  <si>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</si>
  <si>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</si>
  <si>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</si>
  <si>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</si>
  <si>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</si>
  <si>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</si>
  <si>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</si>
  <si>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</si>
  <si>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</si>
  <si>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</si>
  <si>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</si>
  <si>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</si>
  <si>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</si>
  <si>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</si>
  <si>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</si>
  <si>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</si>
  <si>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</si>
  <si>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</si>
  <si>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</si>
  <si>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</si>
  <si>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</si>
  <si>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</si>
  <si>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</si>
  <si>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</si>
  <si>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</si>
  <si>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</si>
  <si>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</si>
  <si>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</si>
  <si>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</si>
  <si>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</si>
  <si>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</si>
  <si>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</si>
  <si>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</si>
  <si>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</si>
  <si>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</si>
  <si>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</si>
  <si>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</si>
  <si>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</si>
  <si>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</si>
  <si>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</si>
  <si>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</si>
  <si>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</si>
  <si>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</si>
  <si>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</si>
  <si>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</si>
  <si>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</si>
  <si>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</si>
  <si>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</si>
  <si>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</si>
  <si>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</si>
  <si>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</si>
  <si>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</si>
  <si>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</si>
  <si>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</si>
  <si>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</si>
  <si>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</si>
  <si>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</si>
  <si>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</si>
  <si>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</si>
  <si>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</si>
  <si>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</si>
  <si>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</si>
  <si>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</si>
  <si>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</si>
  <si>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</si>
  <si>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</si>
  <si>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</si>
  <si>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</si>
  <si>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</si>
  <si>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</si>
  <si>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</si>
  <si>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</si>
  <si>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</si>
  <si>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</si>
  <si>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</si>
  <si>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</si>
  <si>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</si>
  <si>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</si>
  <si>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</si>
  <si>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</si>
  <si>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</si>
  <si>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</si>
  <si>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</si>
  <si>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</si>
  <si>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</si>
  <si>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</si>
  <si>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</si>
  <si>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</si>
  <si>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</si>
  <si>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</si>
  <si>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</si>
  <si>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</si>
  <si>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</si>
  <si>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</si>
  <si>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</si>
  <si>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</si>
  <si>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</si>
  <si>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</si>
  <si>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</si>
  <si>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</si>
  <si>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</si>
  <si>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</si>
  <si>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</si>
  <si>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</si>
  <si>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</si>
  <si>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</si>
  <si>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</si>
  <si>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</si>
  <si>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</si>
  <si>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</si>
  <si>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</si>
  <si>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</si>
  <si>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</si>
  <si>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</si>
  <si>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</si>
  <si>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</si>
  <si>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</si>
  <si>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</si>
  <si>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</si>
  <si>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</si>
  <si>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</si>
  <si>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</si>
  <si>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</si>
  <si>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</si>
  <si>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</si>
  <si>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</si>
  <si>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</si>
  <si>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</si>
  <si>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</si>
  <si>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</si>
  <si>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</si>
  <si>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</si>
  <si>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</si>
  <si>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</si>
  <si>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</si>
  <si>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</si>
  <si>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</si>
  <si>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</si>
  <si>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</si>
  <si>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</si>
  <si>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</si>
  <si>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</si>
  <si>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</si>
  <si>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</si>
  <si>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</si>
  <si>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</si>
  <si>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</si>
  <si>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</si>
  <si>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</si>
  <si>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</si>
  <si>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</si>
  <si>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</si>
  <si>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</si>
  <si>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</si>
  <si>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</si>
  <si>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</si>
  <si>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</si>
  <si>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</si>
  <si>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</si>
  <si>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</si>
  <si>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</si>
  <si>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</si>
  <si>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</si>
  <si>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</si>
  <si>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</si>
  <si>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</si>
  <si>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</si>
  <si>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</si>
  <si>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</si>
  <si>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</si>
  <si>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</si>
  <si>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</si>
  <si>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</si>
  <si>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</si>
  <si>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</si>
  <si>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</si>
  <si>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</si>
  <si>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</si>
  <si>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</si>
  <si>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</si>
  <si>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</si>
  <si>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</si>
  <si>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</si>
  <si>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</si>
  <si>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</si>
  <si>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</si>
  <si>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</si>
  <si>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</si>
  <si>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</si>
  <si>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</si>
  <si>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</si>
  <si>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</si>
  <si>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</si>
  <si>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</si>
  <si>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</si>
  <si>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</si>
  <si>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</si>
  <si>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</si>
  <si>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</si>
  <si>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</si>
  <si>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</si>
  <si>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</si>
  <si>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</si>
  <si>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</si>
  <si>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</si>
  <si>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</si>
  <si>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</si>
  <si>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</si>
  <si>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</si>
  <si>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</si>
  <si>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</si>
  <si>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</si>
  <si>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</si>
  <si>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</si>
  <si>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</si>
  <si>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</si>
  <si>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</si>
  <si>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</si>
  <si>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</si>
  <si>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</si>
  <si>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</si>
  <si>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</si>
  <si>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</si>
  <si>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</si>
  <si>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</si>
  <si>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</si>
  <si>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</si>
  <si>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</si>
  <si>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</si>
  <si>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</si>
  <si>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</si>
  <si>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</si>
  <si>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</si>
  <si>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</si>
  <si>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</si>
  <si>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</si>
  <si>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</si>
  <si>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</si>
  <si>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</si>
  <si>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</si>
  <si>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</si>
  <si>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</si>
  <si>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</si>
  <si>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</si>
  <si>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</si>
  <si>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</si>
  <si>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</si>
  <si>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</si>
  <si>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</si>
  <si>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</si>
  <si>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</si>
  <si>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</si>
  <si>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</si>
  <si>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</si>
  <si>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</si>
  <si>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</si>
  <si>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</si>
  <si>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</si>
  <si>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</si>
  <si>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</si>
  <si>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</si>
  <si>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</si>
  <si>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</si>
  <si>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</si>
  <si>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</si>
  <si>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</si>
  <si>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</si>
  <si>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</si>
  <si>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</si>
  <si>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</si>
  <si>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</si>
  <si>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</si>
  <si>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</si>
  <si>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</si>
  <si>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</si>
  <si>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</si>
  <si>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</si>
  <si>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</si>
  <si>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</si>
  <si>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</si>
  <si>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</si>
  <si>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</si>
  <si>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</si>
  <si>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</si>
  <si>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</si>
  <si>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</si>
  <si>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</si>
  <si>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</si>
  <si>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</si>
  <si>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</si>
  <si>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</si>
  <si>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</si>
  <si>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</si>
  <si>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</si>
  <si>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</si>
  <si>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</si>
  <si>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</si>
  <si>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</si>
  <si>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</si>
  <si>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</si>
  <si>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</si>
  <si>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</si>
  <si>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</si>
  <si>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</si>
  <si>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</si>
  <si>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</si>
  <si>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</si>
  <si>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</si>
  <si>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</si>
  <si>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</si>
  <si>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</si>
  <si>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</si>
  <si>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</si>
  <si>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</si>
  <si>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</si>
  <si>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</si>
  <si>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</si>
  <si>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</si>
  <si>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</si>
  <si>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</si>
  <si>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</si>
  <si>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</si>
  <si>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</si>
  <si>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</si>
  <si>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</si>
  <si>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</si>
  <si>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</si>
  <si>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</si>
  <si>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</si>
  <si>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</si>
  <si>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</si>
  <si>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</si>
  <si>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</si>
  <si>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</si>
  <si>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</si>
  <si>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</si>
  <si>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</si>
  <si>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</si>
  <si>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</si>
  <si>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</si>
  <si>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</si>
  <si>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</si>
  <si>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</si>
  <si>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</si>
  <si>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</si>
  <si>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</si>
  <si>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</si>
  <si>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</si>
  <si>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</si>
  <si>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</si>
  <si>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</si>
  <si>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</si>
  <si>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</si>
  <si>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</si>
  <si>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</si>
  <si>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</si>
  <si>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</si>
  <si>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</si>
  <si>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</si>
  <si>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</si>
  <si>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</si>
  <si>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</si>
  <si>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</si>
  <si>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</si>
  <si>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</si>
  <si>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</si>
  <si>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</si>
  <si>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</si>
  <si>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</si>
  <si>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</si>
  <si>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</si>
  <si>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</si>
  <si>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</si>
  <si>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</si>
  <si>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</si>
  <si>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</si>
  <si>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</si>
  <si>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</si>
  <si>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</si>
  <si>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</si>
  <si>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</si>
  <si>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</si>
  <si>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</si>
  <si>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</si>
  <si>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</si>
  <si>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</si>
  <si>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</si>
  <si>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</si>
  <si>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</si>
  <si>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</si>
  <si>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</si>
  <si>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</si>
  <si>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</si>
  <si>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</si>
  <si>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</si>
  <si>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</si>
  <si>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</si>
  <si>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</si>
  <si>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</si>
  <si>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</si>
  <si>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</si>
  <si>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</si>
  <si>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</si>
  <si>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</si>
  <si>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</si>
  <si>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</si>
  <si>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</si>
  <si>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</si>
  <si>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</si>
  <si>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</si>
  <si>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</si>
  <si>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</si>
  <si>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</si>
  <si>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</si>
  <si>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</si>
  <si>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</si>
  <si>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</si>
  <si>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</si>
  <si>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</si>
  <si>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</si>
  <si>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</si>
  <si>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</si>
  <si>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</si>
  <si>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</si>
  <si>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</si>
  <si>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</si>
  <si>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</si>
  <si>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</si>
  <si>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</si>
  <si>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</si>
  <si>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</si>
  <si>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</si>
  <si>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</si>
  <si>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</si>
  <si>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</si>
  <si>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</si>
  <si>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</si>
  <si>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</si>
  <si>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</si>
  <si>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</si>
  <si>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</si>
  <si>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</si>
  <si>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</si>
  <si>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</si>
  <si>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</si>
  <si>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</si>
  <si>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</si>
  <si>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</si>
  <si>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</si>
  <si>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</si>
  <si>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</si>
  <si>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</si>
  <si>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</si>
  <si>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</si>
  <si>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</si>
  <si>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</si>
  <si>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</si>
  <si>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</si>
  <si>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</si>
  <si>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</si>
  <si>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</si>
  <si>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</si>
  <si>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</si>
  <si>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</si>
  <si>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</si>
  <si>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</si>
  <si>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</si>
  <si>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</si>
  <si>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</si>
  <si>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</si>
  <si>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</si>
  <si>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</si>
  <si>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</si>
  <si>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</si>
  <si>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</si>
  <si>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</si>
  <si>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</si>
  <si>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</si>
  <si>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</si>
  <si>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</si>
  <si>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</si>
  <si>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</si>
  <si>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</si>
  <si>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</si>
  <si>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</si>
  <si>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</si>
  <si>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</si>
  <si>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</si>
  <si>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</si>
  <si>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</si>
  <si>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</si>
  <si>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</si>
  <si>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</si>
  <si>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</si>
  <si>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</si>
  <si>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</si>
  <si>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</si>
  <si>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</si>
  <si>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</si>
  <si>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</si>
  <si>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</si>
  <si>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</si>
  <si>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</si>
  <si>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</si>
  <si>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</si>
  <si>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</si>
  <si>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</si>
  <si>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</si>
  <si>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</si>
  <si>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</si>
  <si>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</si>
  <si>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</si>
  <si>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</si>
  <si>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</si>
  <si>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</si>
  <si>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</si>
  <si>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</si>
  <si>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</si>
  <si>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</si>
  <si>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</si>
  <si>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</si>
  <si>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</si>
  <si>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</si>
  <si>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</si>
  <si>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</si>
  <si>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</si>
  <si>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</si>
  <si>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</si>
  <si>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</si>
  <si>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</si>
  <si>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</si>
  <si>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</si>
  <si>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</si>
  <si>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</si>
  <si>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</si>
  <si>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</si>
  <si>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</si>
  <si>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</si>
  <si>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</si>
  <si>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</si>
  <si>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</si>
  <si>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</si>
  <si>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</si>
  <si>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</si>
  <si>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</si>
  <si>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</si>
  <si>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</si>
  <si>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</si>
  <si>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</si>
  <si>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</si>
  <si>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</si>
  <si>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</si>
  <si>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</si>
  <si>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</si>
  <si>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</si>
  <si>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</si>
  <si>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</si>
  <si>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</si>
  <si>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</si>
  <si>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</si>
  <si>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</si>
  <si>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</si>
  <si>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</si>
  <si>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</si>
  <si>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</si>
  <si>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</si>
  <si>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</si>
  <si>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</si>
  <si>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</si>
  <si>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</si>
  <si>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</si>
  <si>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</si>
  <si>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</si>
  <si>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</si>
  <si>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</si>
  <si>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</si>
  <si>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</si>
  <si>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</si>
  <si>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</si>
  <si>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</si>
  <si>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</si>
  <si>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</si>
  <si>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</si>
  <si>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</si>
  <si>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</si>
  <si>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</si>
  <si>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</si>
  <si>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</si>
  <si>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</si>
  <si>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</si>
  <si>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</si>
  <si>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</si>
  <si>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</si>
  <si>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</si>
  <si>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</si>
  <si>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</si>
  <si>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</si>
  <si>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</si>
  <si>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</si>
  <si>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</si>
  <si>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</si>
  <si>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</si>
  <si>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</si>
  <si>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</si>
  <si>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</si>
  <si>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</si>
  <si>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</si>
  <si>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</si>
  <si>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</si>
  <si>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</si>
  <si>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</si>
  <si>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</si>
  <si>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</si>
  <si>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</si>
  <si>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</si>
  <si>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</si>
  <si>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</si>
  <si>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</si>
  <si>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</si>
  <si>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</si>
  <si>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</si>
  <si>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</si>
  <si>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</si>
  <si>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</si>
  <si>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</si>
  <si>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</si>
  <si>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</si>
  <si>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</si>
  <si>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</si>
  <si>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</si>
  <si>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</si>
  <si>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</si>
  <si>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</si>
  <si>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</si>
  <si>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</si>
  <si>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</si>
  <si>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</si>
  <si>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</si>
  <si>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</si>
  <si>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</si>
  <si>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</si>
  <si>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</si>
  <si>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</si>
  <si>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</si>
  <si>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</si>
  <si>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</si>
  <si>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</si>
  <si>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</si>
  <si>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</si>
  <si>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</si>
  <si>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</si>
  <si>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</si>
  <si>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</si>
  <si>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</si>
  <si>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</si>
  <si>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</si>
  <si>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</si>
  <si>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</si>
  <si>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</si>
  <si>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</si>
  <si>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</si>
  <si>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</si>
  <si>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</si>
  <si>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</si>
  <si>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</si>
  <si>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</si>
  <si>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</si>
  <si>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</si>
  <si>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</si>
  <si>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</si>
  <si>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</si>
  <si>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</si>
  <si>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</si>
  <si>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</si>
  <si>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</si>
  <si>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</si>
  <si>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</si>
  <si>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</si>
  <si>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</si>
  <si>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</si>
  <si>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</si>
  <si>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</si>
  <si>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</si>
  <si>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</si>
  <si>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</si>
  <si>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</si>
  <si>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</si>
  <si>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</si>
  <si>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</si>
  <si>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</si>
  <si>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</si>
  <si>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</si>
  <si>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</si>
  <si>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</si>
  <si>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</si>
  <si>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</si>
  <si>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</si>
  <si>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</si>
  <si>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</si>
  <si>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</si>
  <si>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</si>
  <si>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</si>
  <si>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</si>
  <si>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</si>
  <si>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</si>
  <si>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</si>
  <si>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</si>
  <si>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</si>
  <si>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</si>
  <si>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</si>
  <si>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</si>
  <si>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</si>
  <si>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</si>
  <si>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</si>
  <si>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</si>
  <si>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</si>
  <si>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</si>
  <si>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</si>
  <si>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</si>
  <si>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</si>
  <si>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</si>
  <si>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</si>
  <si>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</si>
  <si>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</si>
  <si>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</si>
  <si>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</si>
  <si>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</si>
  <si>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</si>
  <si>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</si>
  <si>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</si>
  <si>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</si>
  <si>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</si>
  <si>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</si>
  <si>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</si>
  <si>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</si>
  <si>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</si>
  <si>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</si>
  <si>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</si>
  <si>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</si>
  <si>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</si>
  <si>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</si>
  <si>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</si>
  <si>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</si>
  <si>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</si>
  <si>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</si>
  <si>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</si>
  <si>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</si>
  <si>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</si>
  <si>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</si>
  <si>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</si>
  <si>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</si>
  <si>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</si>
  <si>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</si>
  <si>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</si>
  <si>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</si>
  <si>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</si>
  <si>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</si>
  <si>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</si>
  <si>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</si>
  <si>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</si>
  <si>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</si>
  <si>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</si>
  <si>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</si>
  <si>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</si>
  <si>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</si>
  <si>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</si>
  <si>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</si>
  <si>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</si>
  <si>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</si>
  <si>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</si>
  <si>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</si>
  <si>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</si>
  <si>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</si>
  <si>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</si>
  <si>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</si>
  <si>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</si>
  <si>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</si>
  <si>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</si>
  <si>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</si>
  <si>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</si>
  <si>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</si>
  <si>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</si>
  <si>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</si>
  <si>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</si>
  <si>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</si>
  <si>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</si>
  <si>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</si>
  <si>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</si>
  <si>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</si>
  <si>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</si>
  <si>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</si>
  <si>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</si>
  <si>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</si>
  <si>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</si>
  <si>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</si>
  <si>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</si>
  <si>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</si>
  <si>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</si>
  <si>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</si>
  <si>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</si>
  <si>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</si>
  <si>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</si>
  <si>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</si>
  <si>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</si>
  <si>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</si>
  <si>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</si>
  <si>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</si>
  <si>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</si>
  <si>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</si>
  <si>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</si>
  <si>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</si>
  <si>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</si>
  <si>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</si>
  <si>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</si>
  <si>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</si>
  <si>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</si>
  <si>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</si>
  <si>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</si>
  <si>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</si>
  <si>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</si>
  <si>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</si>
  <si>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</si>
  <si>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</si>
  <si>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</si>
  <si>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</si>
  <si>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</si>
  <si>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</si>
  <si>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</si>
  <si>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</si>
  <si>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</si>
  <si>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</si>
  <si>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</si>
  <si>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</si>
  <si>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</si>
  <si>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</si>
  <si>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</si>
  <si>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</si>
  <si>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</si>
  <si>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</si>
  <si>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</si>
  <si>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</si>
  <si>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</si>
  <si>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</si>
  <si>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</si>
  <si>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</si>
  <si>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</si>
  <si>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</si>
  <si>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</si>
  <si>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</si>
  <si>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</si>
  <si>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</si>
  <si>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</si>
  <si>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</si>
  <si>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</si>
  <si>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</si>
  <si>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</si>
  <si>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</si>
  <si>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</si>
  <si>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</si>
  <si>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</si>
  <si>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</si>
  <si>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</si>
  <si>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</si>
  <si>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</si>
  <si>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</si>
  <si>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</si>
  <si>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</si>
  <si>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</si>
  <si>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</si>
  <si>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</si>
  <si>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</si>
  <si>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</si>
  <si>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</si>
  <si>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</si>
  <si>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</si>
  <si>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</si>
  <si>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</si>
  <si>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</si>
  <si>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</si>
  <si>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</si>
  <si>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</si>
  <si>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</si>
  <si>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</si>
  <si>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</si>
  <si>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</si>
  <si>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</si>
  <si>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</si>
  <si>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</si>
  <si>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</si>
  <si>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</si>
  <si>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</si>
  <si>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</si>
  <si>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</si>
  <si>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</si>
  <si>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</si>
  <si>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</si>
  <si>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</si>
  <si>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</si>
  <si>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</si>
  <si>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</si>
  <si>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</si>
  <si>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</si>
  <si>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</si>
  <si>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</si>
  <si>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</si>
  <si>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</si>
  <si>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</si>
  <si>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</si>
  <si>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</si>
  <si>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</si>
  <si>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</si>
  <si>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</si>
  <si>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</si>
  <si>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</si>
  <si>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</si>
  <si>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</si>
  <si>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</si>
  <si>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</si>
  <si>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</si>
  <si>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</si>
  <si>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</si>
  <si>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</si>
  <si>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</si>
  <si>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</si>
  <si>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</si>
  <si>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</si>
  <si>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</si>
  <si>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</si>
  <si>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</si>
  <si>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</si>
  <si>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</si>
  <si>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</si>
  <si>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</si>
  <si>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</si>
  <si>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</si>
  <si>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</si>
  <si>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</si>
  <si>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</si>
  <si>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</si>
  <si>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</si>
  <si>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</si>
  <si>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</si>
  <si>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</si>
  <si>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</si>
  <si>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</si>
  <si>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</si>
  <si>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</si>
  <si>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</si>
  <si>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</si>
  <si>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</si>
  <si>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</si>
  <si>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</si>
  <si>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</si>
  <si>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</si>
  <si>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</si>
  <si>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</si>
  <si>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</si>
  <si>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</si>
  <si>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</si>
  <si>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</si>
  <si>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</si>
  <si>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</si>
  <si>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</si>
  <si>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</si>
  <si>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</si>
  <si>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</si>
  <si>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</si>
  <si>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</si>
  <si>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</si>
  <si>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</si>
  <si>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</si>
  <si>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</si>
  <si>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</si>
  <si>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</si>
  <si>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</si>
  <si>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</si>
  <si>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</si>
  <si>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</si>
  <si>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</si>
  <si>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</si>
  <si>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</si>
  <si>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</si>
  <si>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</si>
  <si>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</si>
  <si>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</si>
  <si>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</si>
  <si>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</si>
  <si>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</si>
  <si>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</si>
  <si>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</si>
  <si>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</si>
  <si>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</si>
  <si>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</si>
  <si>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</si>
  <si>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</si>
  <si>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</si>
  <si>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</si>
  <si>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</si>
  <si>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</si>
  <si>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</si>
  <si>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</si>
  <si>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</si>
  <si>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</si>
  <si>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</si>
  <si>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</si>
  <si>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</si>
  <si>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</si>
  <si>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</si>
  <si>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</si>
  <si>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</si>
  <si>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</si>
  <si>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</si>
  <si>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</si>
  <si>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</si>
  <si>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</si>
  <si>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</si>
  <si>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</si>
  <si>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</si>
  <si>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</si>
  <si>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</si>
  <si>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</si>
  <si>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</si>
  <si>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</si>
  <si>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</si>
  <si>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</si>
  <si>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</si>
  <si>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</si>
  <si>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</si>
  <si>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</si>
  <si>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</si>
  <si>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</si>
  <si>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</si>
  <si>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</si>
  <si>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</si>
  <si>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</si>
  <si>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</si>
  <si>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</si>
  <si>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</si>
  <si>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</si>
  <si>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</si>
  <si>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</si>
  <si>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</si>
  <si>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</si>
  <si>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</si>
  <si>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</si>
  <si>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</si>
  <si>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</si>
  <si>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</si>
  <si>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</si>
  <si>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</si>
  <si>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</si>
  <si>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</si>
  <si>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</si>
  <si>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</si>
  <si>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</si>
  <si>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</si>
  <si>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</si>
  <si>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</si>
  <si>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</si>
  <si>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</si>
  <si>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</si>
  <si>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</si>
  <si>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</si>
  <si>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</si>
  <si>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</si>
  <si>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</si>
  <si>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</si>
  <si>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</si>
  <si>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</si>
  <si>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</si>
  <si>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</si>
  <si>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</si>
  <si>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</si>
  <si>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</si>
  <si>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</si>
  <si>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</si>
  <si>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</si>
  <si>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</si>
  <si>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</si>
  <si>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</si>
  <si>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</si>
  <si>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</si>
  <si>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</si>
  <si>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</si>
  <si>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</si>
  <si>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</si>
  <si>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</si>
  <si>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</si>
  <si>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</si>
  <si>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</si>
  <si>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</si>
  <si>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</si>
  <si>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</si>
  <si>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</si>
  <si>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</si>
  <si>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</si>
  <si>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</si>
  <si>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</si>
  <si>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</si>
  <si>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</si>
  <si>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</si>
  <si>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</si>
  <si>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</si>
  <si>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</si>
  <si>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</si>
  <si>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</si>
  <si>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</si>
  <si>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</si>
  <si>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</si>
  <si>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</si>
  <si>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</si>
  <si>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</si>
  <si>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</si>
  <si>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</si>
  <si>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</si>
  <si>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</si>
  <si>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</si>
  <si>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</si>
  <si>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</si>
  <si>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</si>
  <si>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</si>
  <si>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</si>
  <si>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</si>
  <si>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</si>
  <si>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</si>
  <si>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</si>
  <si>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</si>
  <si>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</si>
  <si>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</si>
  <si>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</si>
  <si>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</si>
  <si>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</si>
  <si>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</si>
  <si>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</si>
  <si>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</si>
  <si>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</si>
  <si>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</si>
  <si>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</si>
  <si>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</si>
  <si>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</si>
  <si>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</si>
  <si>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</si>
  <si>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</si>
  <si>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</si>
  <si>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</si>
  <si>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</si>
  <si>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</si>
  <si>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</si>
  <si>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</si>
  <si>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</si>
  <si>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</si>
  <si>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</si>
  <si>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</si>
  <si>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</si>
  <si>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</si>
  <si>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</si>
  <si>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</si>
  <si>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</si>
  <si>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</si>
  <si>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</si>
  <si>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</si>
  <si>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</si>
  <si>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</si>
  <si>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</si>
  <si>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</si>
  <si>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</si>
  <si>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</si>
  <si>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</si>
  <si>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</si>
  <si>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</si>
  <si>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</si>
  <si>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</si>
  <si>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</si>
  <si>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</si>
  <si>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</si>
  <si>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</si>
  <si>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</si>
  <si>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</si>
  <si>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</si>
  <si>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</si>
  <si>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</si>
  <si>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</si>
  <si>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</si>
  <si>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</si>
  <si>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</si>
  <si>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</si>
  <si>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</si>
  <si>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</si>
  <si>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</si>
  <si>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</si>
  <si>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</si>
  <si>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</si>
  <si>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</si>
  <si>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</si>
  <si>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</si>
  <si>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</si>
  <si>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</si>
  <si>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</si>
  <si>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</si>
  <si>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</si>
  <si>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</si>
  <si>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</si>
  <si>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</si>
  <si>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</si>
  <si>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</si>
  <si>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</si>
  <si>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</si>
  <si>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</si>
  <si>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</si>
  <si>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</si>
  <si>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</si>
  <si>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</si>
  <si>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</si>
  <si>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</si>
  <si>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</si>
  <si>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</si>
  <si>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</si>
  <si>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</si>
  <si>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</si>
  <si>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</si>
  <si>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</si>
  <si>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</si>
  <si>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</si>
  <si>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</si>
  <si>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</si>
  <si>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</si>
  <si>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</si>
  <si>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</si>
  <si>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</si>
  <si>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</si>
  <si>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</si>
  <si>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</si>
  <si>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</si>
  <si>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</si>
  <si>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</si>
  <si>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</si>
  <si>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</si>
  <si>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</si>
  <si>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</si>
  <si>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</si>
  <si>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</si>
  <si>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</si>
  <si>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</si>
  <si>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</si>
  <si>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</si>
  <si>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</si>
  <si>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</si>
  <si>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</si>
  <si>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</si>
  <si>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</si>
  <si>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</si>
  <si>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</si>
  <si>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</si>
  <si>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</si>
  <si>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</si>
  <si>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</si>
  <si>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</si>
  <si>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</si>
  <si>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</si>
  <si>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</si>
  <si>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</si>
  <si>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</si>
  <si>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</si>
  <si>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</si>
  <si>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</si>
  <si>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</si>
  <si>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</si>
  <si>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</si>
  <si>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</si>
  <si>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</si>
  <si>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</si>
  <si>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</si>
  <si>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</si>
  <si>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</si>
  <si>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</si>
  <si>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</si>
  <si>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</si>
  <si>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</si>
  <si>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</si>
  <si>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</si>
  <si>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</si>
  <si>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</si>
  <si>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</si>
  <si>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</si>
  <si>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</si>
  <si>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</si>
  <si>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</si>
  <si>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</si>
  <si>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</si>
  <si>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</si>
  <si>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</si>
  <si>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</si>
  <si>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</si>
  <si>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</si>
  <si>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</si>
  <si>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</si>
  <si>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</si>
  <si>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</si>
  <si>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</si>
  <si>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</si>
  <si>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</si>
  <si>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</si>
  <si>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</si>
  <si>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</si>
  <si>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</si>
  <si>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</si>
  <si>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</si>
  <si>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</si>
  <si>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</si>
  <si>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</si>
  <si>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</si>
  <si>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</si>
  <si>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</si>
  <si>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</si>
  <si>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</si>
  <si>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</si>
  <si>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</si>
  <si>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</si>
  <si>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</si>
  <si>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</si>
  <si>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</si>
  <si>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</si>
  <si>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</si>
  <si>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</si>
  <si>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</si>
  <si>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</si>
  <si>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</si>
  <si>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</si>
  <si>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</si>
  <si>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</si>
  <si>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</si>
  <si>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</si>
  <si>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</si>
  <si>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</si>
  <si>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</si>
  <si>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</si>
  <si>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</si>
  <si>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</si>
  <si>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</si>
  <si>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</si>
  <si>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</si>
  <si>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</si>
  <si>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</si>
  <si>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</si>
  <si>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</si>
  <si>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</si>
  <si>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</si>
  <si>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</si>
  <si>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</si>
  <si>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</si>
  <si>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</si>
  <si>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</si>
  <si>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</si>
  <si>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</si>
  <si>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</si>
  <si>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</si>
  <si>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</si>
  <si>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</si>
  <si>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</si>
  <si>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</si>
  <si>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</si>
  <si>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</si>
  <si>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</si>
  <si>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</si>
  <si>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</si>
  <si>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</si>
  <si>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</si>
  <si>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</si>
  <si>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</si>
  <si>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</si>
  <si>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</si>
  <si>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</si>
  <si>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</si>
  <si>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</si>
  <si>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</si>
  <si>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</si>
  <si>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</si>
  <si>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</si>
  <si>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</si>
  <si>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</si>
  <si>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</si>
  <si>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</si>
  <si>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</si>
  <si>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</si>
  <si>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</si>
  <si>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</si>
  <si>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</si>
  <si>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</si>
  <si>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</si>
  <si>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</si>
  <si>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</si>
  <si>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</si>
  <si>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</si>
  <si>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</si>
  <si>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</si>
  <si>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</si>
  <si>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</si>
  <si>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</si>
  <si>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</si>
  <si>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</si>
  <si>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</si>
  <si>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</si>
  <si>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</si>
  <si>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</si>
  <si>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</si>
  <si>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</si>
  <si>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</si>
  <si>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</si>
  <si>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</si>
  <si>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</si>
  <si>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</si>
  <si>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</si>
  <si>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</si>
  <si>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</si>
  <si>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</si>
  <si>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</si>
  <si>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</si>
  <si>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</si>
  <si>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</si>
  <si>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</si>
  <si>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</si>
  <si>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</si>
  <si>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</si>
  <si>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</si>
  <si>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</si>
  <si>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</si>
  <si>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</si>
  <si>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</si>
  <si>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</si>
  <si>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</si>
  <si>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</si>
  <si>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</si>
  <si>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</si>
  <si>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</si>
  <si>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</si>
  <si>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</si>
  <si>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</si>
  <si>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</si>
  <si>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</si>
  <si>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</si>
  <si>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</si>
  <si>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</si>
  <si>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</si>
  <si>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</si>
  <si>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</si>
  <si>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</si>
  <si>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</si>
  <si>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</si>
  <si>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</si>
  <si>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</si>
  <si>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</si>
  <si>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</si>
  <si>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</si>
  <si>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</si>
  <si>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</si>
  <si>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</si>
  <si>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</si>
  <si>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</si>
  <si>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</si>
  <si>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</si>
  <si>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</si>
  <si>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</si>
  <si>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</si>
  <si>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</si>
  <si>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</si>
  <si>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</si>
  <si>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</si>
  <si>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</si>
  <si>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</si>
  <si>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</si>
  <si>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</si>
  <si>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</si>
  <si>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</si>
  <si>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</si>
  <si>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</si>
  <si>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</si>
  <si>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</si>
  <si>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</si>
  <si>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</si>
  <si>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</si>
  <si>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</si>
  <si>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</si>
  <si>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</si>
  <si>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</si>
  <si>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</si>
  <si>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</si>
  <si>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</si>
  <si>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</si>
  <si>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</si>
  <si>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</si>
  <si>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</si>
  <si>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</si>
  <si>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</si>
  <si>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</si>
  <si>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</si>
  <si>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</si>
  <si>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</si>
  <si>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</si>
  <si>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</si>
  <si>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</si>
  <si>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</si>
  <si>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</si>
  <si>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</si>
  <si>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</si>
  <si>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</si>
  <si>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</si>
  <si>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</si>
  <si>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</si>
  <si>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</si>
  <si>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</si>
  <si>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</si>
  <si>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</si>
  <si>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</si>
  <si>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</si>
  <si>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</si>
  <si>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</si>
  <si>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</si>
  <si>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</si>
  <si>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</si>
  <si>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</si>
  <si>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</si>
  <si>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</si>
  <si>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</si>
  <si>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</si>
  <si>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</si>
  <si>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</si>
  <si>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</si>
  <si>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</si>
  <si>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</si>
  <si>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</si>
  <si>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</si>
  <si>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</si>
  <si>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</si>
  <si>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</si>
  <si>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</si>
  <si>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</si>
  <si>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</si>
  <si>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</si>
  <si>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</si>
  <si>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</si>
  <si>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</si>
  <si>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</si>
  <si>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</si>
  <si>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</si>
  <si>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</si>
  <si>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</si>
  <si>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</si>
  <si>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</si>
  <si>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</si>
  <si>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</si>
  <si>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</si>
  <si>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</si>
  <si>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</si>
  <si>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</si>
  <si>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</si>
  <si>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</si>
  <si>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</si>
  <si>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</si>
  <si>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</si>
  <si>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</si>
  <si>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</si>
  <si>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</si>
  <si>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</si>
  <si>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</si>
  <si>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</si>
  <si>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</si>
  <si>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</si>
  <si>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</si>
  <si>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</si>
  <si>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</si>
  <si>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</si>
  <si>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</si>
  <si>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</si>
  <si>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</si>
  <si>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</si>
  <si>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</si>
  <si>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</si>
  <si>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</si>
  <si>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</si>
  <si>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</si>
  <si>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</si>
  <si>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</si>
  <si>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</si>
  <si>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</si>
  <si>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</si>
  <si>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</si>
  <si>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</si>
  <si>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</si>
  <si>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</si>
  <si>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</si>
  <si>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</si>
  <si>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</si>
  <si>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</si>
  <si>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</si>
  <si>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</si>
  <si>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</si>
  <si>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</si>
  <si>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</si>
  <si>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</si>
  <si>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</si>
  <si>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</si>
  <si>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</si>
  <si>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</si>
  <si>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</si>
  <si>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</si>
  <si>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</si>
  <si>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</si>
  <si>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</si>
  <si>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</si>
  <si>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</si>
  <si>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</si>
  <si>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</si>
  <si>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</si>
  <si>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</si>
  <si>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</si>
  <si>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</si>
  <si>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</si>
  <si>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</si>
  <si>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</si>
  <si>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</si>
  <si>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</si>
  <si>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</si>
  <si>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</si>
  <si>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</si>
  <si>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</si>
  <si>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</si>
  <si>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</si>
  <si>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 até as 13:40, aguarda produção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</si>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</sst>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S1" activePane="topRight" state="frozen"/>
      <selection pane="topRight" activeCell="AT221" sqref="AT2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>
        <v>0.45833333333333331</v>
      </c>
      <c r="AV210" s="38">
        <v>0.5</v>
      </c>
      <c r="AW210" s="38"/>
      <c r="AX210" s="38"/>
      <c r="AY210" s="313">
        <f>IF(D210="","*",IFERROR(IF(ISODD(COUNT(AS210:AX210)),"ERRO",SUM((AT210-AS210),(AV210-AU210),(AX210-AW210))),"ERRO"))</f>
        <v>0.125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Aderente</v>
      </c>
      <c r="BR210" s="18">
        <f t="shared" si="23"/>
        <v>1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str">
        <f t="shared" si="22"/>
        <v>Produção</v>
      </c>
      <c r="BR216" s="18">
        <f t="shared" si="23"/>
        <v>1.0555555555555554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1736</v>
      </c>
      <c r="BK219" s="16" t="s">
        <v>1737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1738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1739</v>
      </c>
      <c r="W221" s="173" t="s">
        <v>1740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1741</v>
      </c>
      <c r="BK221" s="16" t="s">
        <v>1742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1743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1744</v>
      </c>
      <c r="W226" s="173" t="s">
        <v>1745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1746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1747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1748</v>
      </c>
      <c r="N231" s="204" t="s">
        <v>1749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1750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1751</v>
      </c>
      <c r="N232" s="204" t="s">
        <v>1752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1753</v>
      </c>
      <c r="W232" s="173" t="s">
        <v>1754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1744</v>
      </c>
      <c r="W233" s="173" t="s">
        <v>1755</v>
      </c>
      <c r="X233" s="218" t="s">
        <v>957</v>
      </c>
      <c r="Y233" s="158"/>
      <c r="Z233" s="158" t="s">
        <v>964</v>
      </c>
      <c r="AA233" s="83">
        <v>2</v>
      </c>
      <c r="AB233" s="70" t="s">
        <v>954</v>
      </c>
      <c r="AC233" s="70" t="s">
        <v>955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1757</v>
      </c>
      <c r="W234" s="173" t="s">
        <v>1758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E1745979</v>
      </c>
      <c r="B235" s="171">
        <v>45979</v>
      </c>
      <c r="C235" s="8">
        <f>IF(BS_CONTROLE[[#This Row],[DATA]]="","",WEEKNUM(BS_CONTROLE[[#This Row],[DATA]]))</f>
        <v>47</v>
      </c>
      <c r="D235" s="51" t="s">
        <v>750</v>
      </c>
      <c r="E235" s="314">
        <v>226</v>
      </c>
      <c r="F235" s="172" t="s">
        <v>609</v>
      </c>
      <c r="G235" s="9" t="str">
        <f>IF(D235="","*",VLOOKUP(F235,BS_ATIVIDADE[#All],3,FALSE))</f>
        <v>CAMINHÂO - SOLDA</v>
      </c>
      <c r="H235" s="173" t="s">
        <v>97</v>
      </c>
      <c r="I235" s="173" t="s">
        <v>97</v>
      </c>
      <c r="J235" s="217">
        <v>78</v>
      </c>
      <c r="K235" s="217">
        <v>244</v>
      </c>
      <c r="L235" s="83">
        <v>249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5" s="173">
        <v>0.375</v>
      </c>
      <c r="P235" s="173">
        <v>0.125</v>
      </c>
      <c r="Q235" s="83">
        <v>3</v>
      </c>
      <c r="R235" s="10" t="str">
        <f>IFERROR(_xlfn.XLOOKUP(F235, BS_ATIVIDADE[ATIVIDADE],BS_ATIVIDADE[UNIDADE] ), "*")</f>
        <v>Nº DE SOLDA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5" s="80" t="str">
        <f>IFERROR(_xlfn.XLOOKUP(J235, BASE_MAPA!$D$2:$D$359, BASE_MAPA!$E$2:$E$359), "ERRO")</f>
        <v>ITIRAPINA - BAURU</v>
      </c>
      <c r="V235" s="198" t="s">
        <v>1757</v>
      </c>
      <c r="W235" s="173" t="s">
        <v>1408</v>
      </c>
      <c r="X235" s="218" t="s">
        <v>957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6251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CAMINHÃO DE SOLDA</v>
      </c>
      <c r="AJ235" s="9" t="str">
        <f>IF(D235="","*",VLOOKUP(AI235,BS_ATIVIDADE[#Data],3,FALSE))</f>
        <v>CAMINHÂO - SOLDA</v>
      </c>
      <c r="AK235" s="278" t="str">
        <f>IF(BS_CONTROLE[[#This Row],[Local - Partida]]=0, "-", BS_CONTROLE[[#This Row],[Local - Partida]])</f>
        <v>ZVT1</v>
      </c>
      <c r="AL235" s="278" t="str">
        <f>IF(BS_CONTROLE[[#This Row],[Local - Encerramento]]=0, "-", BS_CONTROLE[[#This Row],[Local - Encerramento]])</f>
        <v>ZVT1</v>
      </c>
      <c r="AM235" s="278" t="str">
        <f>IF(BS_CONTROLE[[#This Row],[Entre - Estações]]=0, "-", BS_CONTROLE[[#This Row],[Entre - Estações]])</f>
        <v>ZVT-ZDK</v>
      </c>
      <c r="AN235" s="278" t="str">
        <f>IF(BS_CONTROLE[[#This Row],[SB]]=0, "-", BS_CONTROLE[[#This Row],[SB]])</f>
        <v>ZVTZDK</v>
      </c>
      <c r="AO235" s="279">
        <f>IF(BS_CONTROLE[[#This Row],[SUB]]=0, "-", BS_CONTROLE[[#This Row],[SUB]])</f>
        <v>78</v>
      </c>
      <c r="AP235" s="280">
        <f>IF(BS_CONTROLE[[#This Row],[KM - Inicio]]=0, "-", BS_CONTROLE[[#This Row],[KM - Inicio]])</f>
        <v>244</v>
      </c>
      <c r="AQ235" s="280">
        <f>IF(BS_CONTROLE[[#This Row],[KM - Fim]]=0, "-", BS_CONTROLE[[#This Row],[KM - Fim]])</f>
        <v>249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5" s="11" t="str">
        <f>IFERROR(_xlfn.XLOOKUP(AO235, BASE_MAPA!$D$2:$D$359, BASE_MAPA!$E$2:$E$359), "ERRO")</f>
        <v>ITIRAPINA - BAURU</v>
      </c>
      <c r="BF235" s="281" t="str">
        <f>IF(BS_CONTROLE[[#This Row],[Responsavel pelo boletim]]=0, "-", BS_CONTROLE[[#This Row],[Responsavel pelo boletim]])</f>
        <v>Paulo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1759</v>
      </c>
      <c r="D5" s="362"/>
      <c r="E5" s="362"/>
      <c r="F5" s="362"/>
      <c r="G5" s="362"/>
      <c r="H5" s="362"/>
      <c r="I5" s="362"/>
      <c r="J5" s="363"/>
      <c r="K5" s="364" t="s">
        <v>1760</v>
      </c>
      <c r="L5" s="365"/>
      <c r="M5" s="365"/>
      <c r="N5" s="365"/>
      <c r="O5" s="366" t="s">
        <v>1761</v>
      </c>
      <c r="P5" s="367"/>
      <c r="Q5" s="368"/>
    </row>
    <row r="6" spans="1:17" s="93" customFormat="1" ht="15.75" customHeight="1">
      <c r="A6" s="87" t="s">
        <v>1762</v>
      </c>
      <c r="B6" s="94" t="s">
        <v>1763</v>
      </c>
      <c r="C6" s="95" t="s">
        <v>1164</v>
      </c>
      <c r="D6" s="96" t="s">
        <v>1165</v>
      </c>
      <c r="E6" s="95" t="s">
        <v>1764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1765</v>
      </c>
      <c r="M6" s="139" t="s">
        <v>626</v>
      </c>
      <c r="N6" s="140" t="s">
        <v>1159</v>
      </c>
      <c r="O6" s="246" t="s">
        <v>1202</v>
      </c>
      <c r="P6" s="157"/>
      <c r="Q6" s="193" t="s">
        <v>1766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MALHA CENTRAL</v>
      </c>
      <c r="D232" s="99" t="str">
        <f>IF(FN_MC!T235="","*",FN_MC!T235)</f>
        <v>RAMAL</v>
      </c>
      <c r="E232" s="99" t="str">
        <f>IF(FN_MC!D235="","*",FN_MC!D235)</f>
        <v>E17</v>
      </c>
      <c r="F232" s="99" t="str">
        <f>IF(FN_MC!H235="","*",FN_MC!H235)</f>
        <v>ZVT1</v>
      </c>
      <c r="G232" s="99" t="str">
        <f>IF(FN_MC!M235="","*",FN_MC!M235)</f>
        <v>ZVT-ZDK</v>
      </c>
      <c r="H232" s="154">
        <f>IF(FN_MC!K235="","*",FN_MC!K235)</f>
        <v>244</v>
      </c>
      <c r="I232" s="132">
        <f>IF(FN_MC!O235="","*",FN_MC!O235)</f>
        <v>0.375</v>
      </c>
      <c r="J232" s="132">
        <f>IF(FN_MC!P235="","*",FN_MC!P235)</f>
        <v>0.125</v>
      </c>
      <c r="K232" s="141" t="str">
        <f>IF(FN_MC!AK235="","*",FN_MC!AK235)</f>
        <v>ZVT1</v>
      </c>
      <c r="L232" s="141" t="str">
        <f>IF(FN_MC!AM235="","*",FN_MC!AM235)</f>
        <v>ZVT-ZDK</v>
      </c>
      <c r="M232" s="141">
        <f>IF(FN_MC!AP235="","*",FN_MC!AP235)</f>
        <v>244</v>
      </c>
      <c r="N232" s="141" t="str">
        <f>IF(FN_MC!AM235="","*",FN_MC!AM235)</f>
        <v>ZVT-ZDK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1767</v>
      </c>
      <c r="W1" s="374"/>
      <c r="X1" s="374"/>
      <c r="Y1" s="104"/>
    </row>
    <row r="2" spans="1:25" s="100" customFormat="1" ht="11.25" customHeight="1">
      <c r="A2" s="105" t="s">
        <v>1768</v>
      </c>
      <c r="B2" s="105" t="s">
        <v>1763</v>
      </c>
      <c r="C2" s="105" t="s">
        <v>603</v>
      </c>
      <c r="D2" s="106" t="s">
        <v>1164</v>
      </c>
      <c r="E2" s="106" t="s">
        <v>1165</v>
      </c>
      <c r="F2" s="106" t="s">
        <v>1762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1769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MALHA CENTRAL</v>
      </c>
      <c r="E233" s="110" t="str">
        <f>IF(FN_MC!T235="","*",FN_MC!T235)</f>
        <v>RAMAL</v>
      </c>
      <c r="F233" s="110">
        <f>IF(FN_MC!B235="","*",FN_MC!B235)</f>
        <v>45979</v>
      </c>
      <c r="G233" s="110" t="str">
        <f>IF(FN_MC!D235="","*",FN_MC!D235)</f>
        <v>E17</v>
      </c>
      <c r="H233" s="110" t="str">
        <f>IF(FN_MC!F235="","*",FN_MC!F235)</f>
        <v>CAMINHÃO DE SOLDA</v>
      </c>
      <c r="I233" s="110" t="str">
        <f>IF(FN_MC!H235="","*",FN_MC!H235)</f>
        <v>ZVT1</v>
      </c>
      <c r="J233" s="110" t="str">
        <f>IF(FN_MC!I235="","*",FN_MC!I235)</f>
        <v>ZVT1</v>
      </c>
      <c r="K233" s="110" t="str">
        <f>IF(FN_MC!M235="","*",FN_MC!M235)</f>
        <v>ZVT-ZDK</v>
      </c>
      <c r="L233" s="110" t="str">
        <f>IF(FN_MC!N235="","*",FN_MC!N235)</f>
        <v>ZVTZDK</v>
      </c>
      <c r="M233" s="111">
        <f>IF(FN_MC!J235="","*",FN_MC!J235)</f>
        <v>78</v>
      </c>
      <c r="N233" s="290">
        <f>IF(FN_MC!K235="","*",FN_MC!K235)</f>
        <v>244</v>
      </c>
      <c r="O233" s="290">
        <f>IF(FN_MC!L235="","*",FN_MC!L235)</f>
        <v>249</v>
      </c>
      <c r="P233" s="111"/>
      <c r="Q233" s="128">
        <f>IF(FN_MC!O235="","*",FN_MC!O235)</f>
        <v>0.375</v>
      </c>
      <c r="R233" s="128">
        <f>IF(FN_MC!P235="","*",FN_MC!P235)</f>
        <v>0.125</v>
      </c>
      <c r="S233" s="110" t="str">
        <f>IF(FN_MC!Q235="","*",CONCATENATE(FN_MC!Q235," ",FN_MC!R235))</f>
        <v>3 Nº DE SOLDA</v>
      </c>
      <c r="T233" s="110" t="str">
        <f>IF(FN_MC!V235="","*",FN_MC!V235)</f>
        <v>Paulo</v>
      </c>
      <c r="U233" s="110" t="str">
        <f>IF(FN_MC!W235="","*",FN_MC!W235)</f>
        <v xml:space="preserve">Caminhão de solda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1770</v>
      </c>
      <c r="C2" s="95" t="s">
        <v>1149</v>
      </c>
      <c r="D2" s="95" t="s">
        <v>1151</v>
      </c>
      <c r="E2" s="95" t="s">
        <v>1771</v>
      </c>
      <c r="F2" s="95" t="s">
        <v>1772</v>
      </c>
      <c r="G2" s="95" t="s">
        <v>1773</v>
      </c>
      <c r="H2" s="95" t="s">
        <v>1774</v>
      </c>
      <c r="I2" s="95" t="s">
        <v>1775</v>
      </c>
      <c r="J2" s="95" t="s">
        <v>1776</v>
      </c>
      <c r="K2" s="131" t="s">
        <v>1777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ESCALA</v>
      </c>
      <c r="I213" s="121" t="str">
        <f>IF(FN_MC!AC233="","*",FN_MC!AC233)</f>
        <v>AGD ACIONAMENTO PCM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E17</v>
      </c>
      <c r="E215" s="121" t="str">
        <f>IF(FN_MC!H235="","*",FN_MC!H235)</f>
        <v>ZVT1</v>
      </c>
      <c r="F215" s="137" t="str">
        <f>IF(FN_MC!M235="","*",FN_MC!M235)</f>
        <v>ZVT-ZDK</v>
      </c>
      <c r="G215" s="121" t="str">
        <f>IF(FN_MC!I235="","*",FN_MC!I235)</f>
        <v>ZVT1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2025-11-17T17:18:28Z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