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19" documentId="120_S{118792C3-22EF-5104-A093-F22BFE3913F3}" xr6:coauthVersionLast="47" xr6:coauthVersionMax="47" xr10:uidLastSave="{B9FD50D0-6F45-41D4-B62A-119D4663511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<sst xmlns="http://schemas.openxmlformats.org/spreadsheetml/2006/main" count="5983" uniqueCount="1433">
  <si>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</si>
  <si>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</si>
  <si>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</si>
  <si>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</si>
  <si>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</si>
  <si>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</si>
  <si>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</si>
  <si>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</si>
  <si>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</si>
  <si>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</si>
  <si>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</si>
  <si>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</si>
  <si>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</si>
  <si>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</si>
  <si>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</si>
  <si>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</si>
  <si>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</si>
  <si>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</si>
  <si>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</si>
  <si>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</si>
  <si>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</si>
  <si>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</si>
  <si>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</si>
  <si>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</si>
  <si>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</si>
  <si>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</si>
  <si>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</si>
  <si>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</si>
  <si>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</si>
  <si>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</si>
  <si>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</si>
  <si>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</si>
  <si>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</si>
  <si>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</si>
  <si>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</si>
  <si>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</si>
  <si>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</si>
  <si>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</si>
  <si>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</si>
  <si>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</si>
  <si>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</si>
  <si>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</si>
  <si>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</si>
  <si>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</si>
  <si>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</si>
  <si>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</si>
  <si>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</si>
  <si>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</si>
  <si>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</si>
  <si>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</si>
  <si>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</si>
  <si>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</si>
  <si>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</si>
  <si>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</si>
  <si>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</si>
  <si>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</si>
  <si>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</si>
  <si>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</si>
  <si>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</si>
  <si>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</si>
  <si>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</si>
  <si>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</si>
  <si>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</si>
  <si>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</si>
  <si>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</si>
  <si>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</si>
  <si>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</si>
  <si>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</si>
  <si>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</si>
  <si>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</si>
  <si>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</si>
  <si>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</si>
  <si>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</si>
  <si>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</si>
  <si>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</si>
  <si>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</si>
  <si>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</si>
  <si>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</si>
  <si>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</si>
  <si>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</si>
  <si>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</si>
  <si>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</si>
  <si>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</si>
  <si>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</si>
  <si>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</si>
  <si>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</si>
  <si>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</si>
  <si>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</si>
  <si>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</si>
  <si>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</si>
  <si>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</si>
  <si>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</si>
  <si>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</si>
  <si>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</si>
  <si>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</si>
  <si>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</si>
  <si>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</si>
  <si>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</si>
  <si>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</si>
  <si>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</si>
  <si>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</si>
  <si>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</si>
  <si>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</si>
  <si>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</si>
  <si>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</si>
  <si>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</si>
  <si>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</si>
  <si>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</si>
  <si>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</si>
  <si>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</si>
  <si>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</si>
  <si>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</si>
  <si>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</si>
  <si>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</si>
  <si>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</si>
  <si>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</si>
  <si>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</si>
  <si>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</si>
  <si>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</si>
  <si>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</si>
  <si>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</si>
  <si>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</si>
  <si>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</si>
  <si>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</si>
  <si>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</si>
  <si>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</si>
  <si>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</si>
  <si>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</si>
  <si>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</si>
  <si>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</si>
  <si>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</si>
  <si>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</si>
  <si>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</si>
  <si>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</si>
  <si>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</si>
  <si>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</si>
  <si>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</si>
  <si>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</si>
  <si>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</si>
  <si>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</si>
  <si>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</si>
  <si>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</si>
  <si>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</si>
  <si>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</si>
  <si>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</si>
  <si>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</si>
  <si>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</si>
  <si>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</si>
  <si>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</si>
  <si>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</si>
  <si>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</si>
  <si>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</si>
  <si>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</si>
  <si>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</si>
  <si>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</si>
  <si>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</si>
  <si>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</si>
  <si>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</si>
  <si>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</si>
  <si>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</si>
  <si>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</si>
  <si>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</si>
  <si>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</si>
  <si>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</si>
  <si>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</si>
  <si>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</si>
  <si>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</si>
  <si>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</si>
  <si>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</si>
  <si>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</si>
  <si>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</si>
  <si>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</si>
  <si>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</si>
  <si>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</si>
  <si>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</si>
  <si>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</si>
  <si>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</si>
  <si>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</si>
  <si>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</si>
  <si>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</si>
  <si>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</si>
  <si>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</si>
  <si>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</si>
  <si>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</si>
  <si>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</si>
  <si>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</si>
  <si>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</si>
  <si>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</si>
  <si>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</si>
  <si>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</si>
  <si>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</si>
  <si>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</si>
  <si>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</si>
  <si>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</si>
  <si>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</si>
  <si>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</si>
  <si>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</si>
  <si>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</si>
  <si>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</si>
  <si>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</si>
  <si>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</si>
  <si>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</si>
  <si>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</si>
  <si>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</si>
  <si>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</si>
  <si>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</si>
  <si>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</si>
  <si>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</si>
  <si>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</si>
  <si>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</si>
  <si>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</si>
  <si>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</si>
  <si>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</si>
  <si>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</si>
  <si>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</si>
  <si>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</si>
  <si>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</si>
  <si>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</si>
  <si>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</si>
  <si>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</si>
  <si>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</si>
  <si>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</si>
  <si>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</si>
  <si>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</si>
  <si>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</si>
  <si>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</si>
  <si>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</si>
  <si>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</si>
  <si>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</si>
  <si>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</si>
  <si>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</si>
  <si>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</si>
  <si>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</si>
  <si>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</si>
  <si>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</si>
  <si>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</si>
  <si>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</si>
  <si>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</si>
  <si>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</si>
  <si>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</si>
  <si>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</si>
  <si>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</si>
  <si>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</si>
  <si>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</si>
  <si>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</si>
  <si>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</si>
  <si>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</si>
  <si>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</si>
  <si>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</si>
  <si>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</si>
  <si>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</si>
  <si>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</si>
  <si>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</si>
  <si>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</si>
  <si>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</si>
  <si>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</si>
  <si>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</si>
  <si>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</si>
  <si>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</si>
  <si>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</si>
  <si>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</si>
  <si>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</si>
  <si>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</si>
  <si>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</si>
  <si>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</si>
  <si>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</si>
  <si>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</si>
  <si>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</si>
  <si>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</si>
  <si>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</si>
  <si>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</si>
  <si>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</si>
  <si>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</si>
  <si>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</si>
  <si>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</si>
  <si>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</si>
  <si>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</si>
  <si>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</si>
  <si>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</si>
  <si>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</si>
  <si>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</si>
  <si>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</si>
  <si>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</si>
  <si>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</si>
  <si>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</si>
  <si>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</si>
  <si>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</si>
  <si>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</si>
  <si>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</si>
  <si>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</si>
  <si>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</si>
  <si>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</si>
  <si>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</si>
  <si>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</si>
  <si>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</si>
  <si>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</si>
  <si>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</si>
  <si>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</si>
  <si>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</si>
  <si>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</si>
  <si>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</si>
  <si>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</si>
  <si>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</si>
  <si>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</si>
  <si>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</si>
  <si>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</si>
  <si>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</si>
  <si>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</si>
  <si>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</si>
  <si>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</si>
  <si>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</si>
  <si>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</si>
  <si>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</si>
  <si>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</si>
  <si>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</si>
  <si>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</si>
  <si>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</si>
  <si>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</si>
  <si>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</si>
  <si>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</si>
  <si>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</si>
  <si>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</si>
  <si>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</si>
  <si>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</si>
  <si>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</si>
  <si>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</si>
  <si>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</si>
  <si>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</si>
  <si>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</si>
  <si>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</si>
  <si>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</si>
  <si>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</si>
  <si>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</si>
  <si>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</si>
  <si>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</si>
  <si>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</si>
  <si>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</si>
  <si>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</si>
  <si>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</si>
  <si>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</si>
  <si>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</si>
  <si>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</si>
  <si>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</si>
  <si>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</si>
  <si>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</si>
  <si>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</si>
  <si>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</si>
  <si>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</si>
  <si>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</si>
  <si>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</si>
  <si>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</si>
  <si>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</si>
  <si>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</si>
  <si>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</si>
  <si>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</si>
  <si>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</si>
  <si>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</si>
  <si>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</si>
  <si>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</si>
  <si>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</si>
  <si>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</si>
  <si>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</si>
  <si>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</si>
  <si>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</si>
  <si>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</si>
  <si>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</si>
  <si>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</si>
  <si>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</si>
  <si>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</si>
  <si>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</si>
  <si>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</si>
  <si>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</si>
  <si>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</si>
  <si>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</si>
  <si>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</si>
  <si>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</si>
  <si>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</si>
  <si>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</si>
  <si>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</si>
  <si>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</si>
  <si>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</si>
  <si>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</si>
  <si>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</si>
  <si>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</si>
  <si>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</si>
  <si>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</si>
  <si>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</si>
  <si>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</si>
  <si>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</si>
  <si>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</si>
  <si>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</si>
  <si>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</si>
  <si>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</si>
  <si>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</si>
  <si>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</si>
  <si>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</si>
  <si>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</si>
  <si>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</si>
  <si>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</si>
  <si>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</si>
  <si>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</si>
  <si>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</si>
  <si>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</si>
  <si>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</si>
  <si>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</si>
  <si>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</si>
  <si>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</si>
  <si>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</si>
  <si>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</si>
  <si>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</si>
  <si>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</si>
  <si>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</si>
  <si>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</si>
  <si>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</si>
  <si>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</si>
  <si>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</si>
  <si>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</si>
  <si>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</si>
  <si>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</si>
  <si>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</si>
  <si>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</si>
  <si>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</si>
  <si>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</si>
  <si>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</si>
  <si>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</si>
  <si>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</si>
  <si>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</si>
  <si>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</si>
  <si>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</si>
  <si>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</si>
  <si>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</si>
  <si>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</si>
  <si>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</si>
  <si>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</si>
  <si>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</si>
  <si>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</si>
  <si>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</si>
  <si>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</si>
  <si>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</si>
  <si>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</si>
  <si>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</si>
  <si>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</si>
  <si>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</si>
  <si>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</si>
  <si>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</si>
  <si>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</si>
  <si>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</si>
  <si>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</si>
  <si>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</si>
  <si>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</si>
  <si>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</si>
  <si>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</si>
  <si>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</si>
  <si>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</si>
  <si>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</si>
  <si>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</si>
  <si>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</si>
  <si>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</si>
  <si>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</si>
  <si>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</si>
  <si>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</si>
  <si>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</si>
  <si>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</si>
  <si>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</si>
  <si>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</si>
  <si>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</si>
  <si>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</si>
  <si>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</si>
  <si>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</si>
  <si>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</si>
  <si>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</si>
  <si>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</si>
  <si>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</si>
  <si>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</si>
  <si>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</si>
  <si>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</si>
  <si>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</si>
  <si>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</si>
  <si>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</si>
  <si>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</si>
  <si>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</si>
  <si>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</si>
  <si>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</si>
  <si>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</si>
  <si>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</si>
  <si>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</si>
  <si>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</si>
  <si>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</si>
  <si>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</si>
  <si>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</si>
  <si>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</si>
  <si>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</si>
  <si>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</si>
  <si>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</si>
  <si>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</si>
  <si>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</si>
  <si>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</si>
  <si>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</si>
  <si>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</si>
  <si>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</si>
  <si>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</si>
  <si>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</si>
  <si>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</si>
  <si>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</si>
  <si>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</si>
  <si>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</si>
  <si>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</si>
  <si>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</si>
  <si>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</si>
  <si>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</si>
  <si>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</si>
  <si>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</si>
  <si>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</si>
  <si>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</si>
  <si>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</si>
  <si>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</si>
  <si>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</si>
  <si>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</si>
  <si>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</si>
  <si>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</si>
  <si>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</si>
  <si>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</si>
  <si>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</si>
  <si>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</si>
  <si>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</si>
  <si>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</si>
  <si>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</si>
  <si>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</si>
  <si>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</si>
  <si>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</si>
  <si>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</si>
  <si>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</si>
  <si>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</si>
  <si>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</si>
  <si>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</si>
  <si>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</si>
  <si>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</si>
  <si>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</si>
  <si>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</si>
  <si>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</si>
  <si>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</si>
  <si>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</si>
  <si>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</si>
  <si>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</si>
  <si>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</si>
  <si>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</si>
  <si>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</si>
  <si>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</si>
  <si>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</si>
  <si>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</si>
  <si>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</si>
  <si>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</si>
  <si>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</si>
  <si>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</si>
  <si>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</si>
  <si>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</si>
  <si>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</si>
  <si>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</si>
  <si>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</si>
  <si>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</si>
  <si>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</si>
  <si>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</si>
  <si>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</si>
  <si>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</si>
  <si>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</si>
  <si>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</si>
  <si>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</si>
  <si>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</si>
  <si>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</si>
  <si>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</si>
  <si>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</si>
  <si>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</si>
  <si>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</si>
  <si>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</si>
  <si>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</si>
  <si>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</si>
  <si>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</si>
  <si>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</si>
  <si>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</si>
  <si>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</si>
  <si>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</si>
  <si>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</si>
  <si>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</si>
  <si>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</si>
  <si>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</si>
  <si>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</si>
  <si>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</si>
  <si>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</si>
  <si>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</si>
  <si>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</si>
  <si>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</si>
  <si>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</si>
  <si>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</si>
  <si>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</si>
  <si>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</si>
  <si>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</si>
  <si>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</si>
  <si>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</si>
  <si>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</si>
  <si>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</si>
  <si>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</si>
  <si>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</si>
  <si>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</si>
  <si>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</si>
  <si>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</si>
  <si>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</si>
  <si>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</si>
  <si>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</si>
  <si>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</si>
  <si>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</si>
  <si>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</si>
  <si>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</si>
  <si>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</si>
  <si>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</si>
  <si>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</si>
  <si>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</si>
  <si>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</si>
  <si>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</si>
  <si>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</si>
  <si>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</si>
  <si>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</si>
  <si>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</si>
  <si>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</si>
  <si>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</si>
  <si>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</si>
  <si>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</si>
  <si>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</si>
  <si>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</si>
  <si>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</si>
  <si>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</si>
  <si>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</si>
  <si>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</si>
  <si>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</si>
  <si>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</si>
  <si>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</si>
  <si>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</si>
  <si>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</si>
  <si>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</si>
  <si>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</si>
  <si>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</si>
  <si>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</si>
  <si>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</si>
  <si>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</si>
  <si>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</si>
  <si>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</si>
  <si>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</si>
  <si>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</si>
  <si>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</si>
  <si>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</si>
  <si>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</si>
  <si>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</si>
  <si>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</si>
  <si>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</si>
  <si>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</si>
  <si>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</si>
  <si>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</si>
  <si>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</si>
  <si>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</si>
  <si>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</si>
  <si>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</si>
  <si>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</si>
  <si>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</si>
  <si>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</si>
  <si>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</si>
  <si>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</si>
  <si>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</si>
  <si>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</si>
  <si>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</si>
  <si>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</si>
  <si>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</si>
  <si>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</si>
  <si>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</si>
  <si>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</si>
  <si>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</si>
  <si>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</si>
  <si>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</si>
  <si>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</si>
  <si>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</si>
  <si>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</si>
  <si>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</si>
  <si>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</si>
  <si>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</si>
  <si>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</si>
  <si>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</si>
  <si>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</si>
  <si>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</si>
  <si>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</si>
  <si>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</si>
  <si>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</si>
  <si>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</si>
  <si>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</si>
  <si>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</si>
  <si>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</si>
  <si>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</si>
  <si>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</si>
  <si>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</si>
  <si>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</si>
  <si>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</si>
  <si>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</si>
  <si>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</si>
  <si>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</si>
  <si>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</si>
  <si>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</si>
  <si>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</si>
  <si>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</si>
  <si>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</si>
  <si>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</si>
  <si>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</si>
  <si>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</si>
  <si>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</si>
  <si>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</si>
  <si>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</si>
  <si>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</si>
  <si>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</si>
  <si>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</si>
  <si>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</si>
  <si>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</si>
  <si>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</si>
  <si>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</si>
  <si>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</si>
  <si>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</si>
  <si>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</si>
  <si>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</si>
  <si>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</si>
  <si>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</si>
  <si>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</si>
  <si>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</si>
  <si>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</si>
  <si>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</si>
  <si>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</si>
  <si>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</si>
  <si>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</si>
  <si>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</si>
  <si>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</si>
  <si>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</si>
  <si>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</si>
  <si>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</si>
  <si>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</si>
  <si>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</si>
  <si>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</si>
  <si>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</si>
  <si>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</si>
  <si>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</si>
  <si>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</si>
  <si>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</si>
  <si>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</si>
  <si>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</si>
  <si>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</si>
  <si>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</si>
  <si>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</si>
  <si>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</si>
  <si>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</si>
  <si>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</si>
  <si>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</si>
  <si>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</si>
  <si>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</si>
  <si>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</si>
  <si>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</si>
  <si>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</si>
  <si>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</si>
  <si>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</si>
  <si>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</si>
  <si>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</si>
  <si>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</si>
  <si>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</si>
  <si>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</si>
  <si>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</si>
  <si>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</si>
  <si>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</si>
  <si>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</si>
  <si>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</si>
  <si>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</si>
  <si>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</si>
  <si>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</si>
  <si>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</si>
  <si>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</si>
  <si>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</si>
  <si>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</si>
  <si>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</si>
  <si>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</si>
  <si>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</si>
  <si>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</si>
  <si>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</si>
  <si>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</si>
  <si>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</si>
  <si>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</si>
  <si>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</si>
  <si>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</si>
  <si>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</si>
  <si>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</si>
  <si>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</si>
  <si>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</si>
  <si>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</si>
  <si>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</si>
  <si>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</si>
  <si>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</si>
  <si>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</si>
  <si>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</si>
  <si>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</si>
  <si>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</si>
  <si>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</si>
  <si>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</si>
  <si>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</si>
  <si>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</si>
  <si>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</si>
  <si>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</si>
  <si>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</si>
  <si>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</si>
  <si>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</si>
  <si>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</si>
  <si>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</si>
  <si>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</si>
  <si>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</si>
  <si>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</si>
  <si>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</si>
  <si>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</si>
  <si>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</si>
  <si>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</si>
  <si>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</si>
  <si>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</si>
  <si>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</si>
  <si>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</si>
  <si>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</si>
  <si>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</si>
  <si>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</si>
  <si>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</si>
  <si>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</si>
  <si>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</si>
  <si>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</si>
  <si>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</si>
  <si>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</si>
  <si>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</si>
  <si>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</si>
  <si>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</si>
  <si>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</si>
  <si>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</si>
  <si>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</si>
  <si>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</si>
  <si>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</si>
  <si>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</si>
  <si>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</si>
  <si>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</si>
  <si>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</si>
  <si>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</si>
  <si>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</si>
  <si>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</si>
  <si>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</si>
  <si>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</si>
  <si>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</si>
  <si>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</si>
  <si>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</si>
  <si>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</si>
  <si>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</si>
  <si>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</si>
  <si>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</si>
  <si>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</si>
  <si>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</si>
  <si>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</si>
  <si>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</si>
  <si>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</si>
  <si>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</si>
  <si>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</si>
  <si>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</si>
  <si>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</si>
  <si>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</si>
  <si>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</si>
  <si>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</si>
  <si>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</si>
  <si>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</si>
  <si>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</si>
  <si>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</si>
  <si>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</si>
  <si>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</si>
  <si>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</si>
  <si>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</si>
  <si>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</si>
  <si>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</si>
  <si>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</si>
  <si>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</si>
  <si>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</si>
  <si>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</si>
  <si>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</si>
  <si>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</si>
  <si>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</si>
  <si>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</si>
  <si>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</si>
  <si>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</si>
  <si>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</si>
  <si>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</si>
  <si>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</si>
  <si>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</si>
  <si>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</si>
  <si>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</si>
  <si>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</si>
  <si>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</si>
  <si>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</si>
  <si>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</si>
  <si>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</si>
  <si>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</si>
  <si>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</si>
  <si>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</si>
  <si>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</si>
  <si>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</si>
  <si>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</si>
  <si>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</si>
  <si>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</si>
  <si>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</si>
  <si>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</si>
  <si>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</si>
  <si>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</si>
  <si>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</si>
  <si>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</si>
  <si>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</si>
  <si>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</si>
  <si>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</si>
  <si>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</si>
  <si>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</si>
  <si>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</si>
  <si>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</si>
  <si>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</si>
  <si>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</si>
  <si>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</si>
  <si>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</si>
  <si>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</si>
  <si>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</si>
  <si>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</si>
  <si>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</si>
  <si>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</si>
  <si>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</si>
  <si>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</si>
  <si>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</si>
  <si>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</si>
  <si>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</si>
  <si>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</si>
  <si>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</si>
  <si>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</si>
  <si>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</si>
  <si>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</si>
  <si>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</si>
  <si>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</si>
  <si>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</si>
  <si>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</si>
  <si>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</si>
  <si>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</si>
  <si>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</si>
  <si>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</si>
  <si>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</si>
  <si>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</si>
  <si>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</si>
  <si>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</si>
  <si>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</si>
  <si>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</si>
  <si>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</si>
  <si>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</si>
  <si>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</si>
  <si>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</si>
  <si>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</si>
  <si>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</si>
  <si>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</si>
  <si>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</si>
  <si>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</si>
  <si>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</si>
  <si>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</si>
  <si>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</si>
  <si>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</si>
  <si>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</si>
  <si>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</si>
  <si>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</si>
  <si>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</si>
  <si>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</si>
  <si>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</si>
  <si>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</si>
  <si>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</si>
  <si>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</si>
  <si>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</si>
  <si>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</si>
  <si>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</si>
  <si>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</si>
  <si>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</si>
  <si>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</si>
  <si>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</si>
  <si>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</si>
  <si>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</si>
  <si>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</si>
  <si>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</si>
  <si>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</si>
  <si>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</si>
  <si>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</si>
  <si>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</si>
  <si>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</si>
  <si>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</si>
  <si>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</si>
  <si>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</si>
  <si>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</si>
  <si>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</si>
  <si>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</si>
  <si>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</si>
  <si>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</si>
  <si>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</si>
  <si>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</si>
  <si>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</si>
  <si>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</si>
  <si>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</si>
  <si>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</si>
  <si>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</si>
  <si>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</si>
  <si>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</si>
  <si>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</si>
  <si>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</si>
  <si>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</si>
  <si>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</si>
  <si>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</si>
  <si>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</si>
  <si>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</si>
  <si>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</si>
  <si>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</si>
  <si>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</si>
  <si>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</si>
  <si>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</si>
  <si>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</si>
  <si>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</si>
  <si>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</si>
  <si>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</si>
  <si>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</si>
  <si>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</si>
  <si>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</si>
  <si>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</si>
  <si>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</si>
  <si>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</si>
  <si>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</si>
  <si>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</si>
  <si>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</si>
  <si>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</si>
  <si>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</si>
  <si>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</si>
  <si>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</si>
  <si>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</si>
  <si>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</si>
  <si>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</si>
  <si>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</si>
  <si>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</si>
  <si>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</si>
  <si>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</si>
  <si>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</si>
  <si>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</si>
  <si>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</si>
  <si>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</si>
  <si>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</si>
  <si>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</si>
  <si>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</si>
  <si>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</si>
  <si>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</si>
  <si>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</si>
  <si>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</si>
  <si>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</si>
  <si>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</si>
  <si>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</si>
  <si>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</si>
  <si>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</si>
  <si>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</si>
  <si>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</si>
  <si>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</si>
  <si>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</si>
  <si>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</si>
  <si>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</si>
  <si>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</si>
  <si>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</si>
  <si>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</si>
  <si>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</si>
  <si>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</si>
  <si>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</si>
  <si>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</si>
  <si>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</si>
  <si>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</si>
  <si>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</si>
  <si>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</si>
  <si>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</si>
  <si>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</si>
  <si>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</si>
  <si>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</si>
  <si>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</si>
  <si>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</si>
  <si>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</si>
  <si>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</si>
  <si>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</si>
  <si>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</si>
  <si>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</si>
  <si>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</si>
  <si>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</si>
  <si>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</si>
  <si>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</si>
  <si>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</si>
  <si>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</si>
  <si>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</si>
  <si>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</si>
  <si>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</si>
  <si>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</si>
  <si>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</si>
  <si>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</si>
  <si>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</si>
  <si>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</si>
  <si>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</si>
  <si>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</si>
  <si>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</si>
  <si>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</si>
  <si>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</si>
  <si>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</si>
  <si>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</si>
  <si>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</si>
  <si>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</si>
  <si>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</si>
  <si>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</si>
  <si>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</si>
  <si>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</si>
  <si>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</si>
  <si>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</si>
  <si>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</si>
  <si>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</si>
  <si>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</si>
  <si>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</si>
  <si>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</si>
  <si>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</si>
  <si>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</si>
  <si>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</si>
  <si>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</si>
  <si>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</si>
  <si>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</si>
  <si>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</si>
  <si>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</si>
  <si>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</si>
  <si>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</si>
  <si>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</si>
  <si>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</si>
  <si>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</si>
  <si>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</si>
  <si>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</si>
  <si>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</si>
  <si>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</si>
  <si>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</si>
  <si>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</si>
  <si>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</si>
  <si>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</si>
  <si>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</si>
  <si>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</si>
  <si>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</si>
  <si>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</si>
  <si>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</si>
  <si>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</si>
  <si>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</si>
  <si>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</si>
  <si>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</si>
  <si>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</si>
  <si>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</si>
  <si>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</si>
  <si>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</si>
  <si>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</si>
  <si>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</si>
  <si>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</si>
  <si>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</si>
  <si>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</si>
  <si>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</si>
  <si>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</si>
  <si>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</si>
  <si>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</si>
  <si>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</si>
  <si>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</si>
  <si>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</si>
  <si>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</si>
  <si>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</si>
  <si>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</si>
  <si>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</si>
  <si>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</si>
  <si>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</si>
  <si>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</si>
  <si>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</si>
  <si>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</si>
  <si>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</si>
  <si>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</si>
  <si>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</si>
  <si>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</si>
  <si>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</si>
  <si>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</si>
  <si>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</si>
  <si>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</si>
  <si>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</si>
  <si>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</si>
  <si>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</si>
  <si>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</si>
  <si>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</si>
  <si>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</si>
  <si>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</si>
  <si>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</si>
  <si>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</si>
  <si>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</si>
  <si>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</si>
  <si>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</si>
  <si>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</si>
  <si>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</si>
  <si>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</si>
  <si>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</si>
  <si>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</si>
  <si>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</si>
  <si>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</si>
  <si>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</si>
  <si>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</si>
  <si>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</si>
  <si>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</si>
  <si>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</si>
  <si>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</si>
  <si>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</si>
  <si>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</si>
  <si>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</si>
  <si>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</si>
  <si>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</si>
  <si>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</si>
  <si>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</si>
  <si>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</si>
  <si>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</si>
  <si>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</si>
  <si>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</si>
  <si>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</si>
  <si>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</si>
  <si>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</si>
  <si>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</si>
  <si>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</si>
  <si>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</si>
  <si>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</si>
  <si>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</si>
  <si>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</si>
  <si>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</si>
  <si>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</si>
  <si>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</si>
  <si>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</si>
  <si>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</si>
  <si>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</si>
  <si>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</si>
  <si>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</si>
  <si>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</si>
  <si>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</si>
  <si>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</si>
  <si>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</si>
  <si>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</si>
  <si>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</si>
  <si>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</si>
  <si>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</si>
  <si>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</si>
  <si>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</si>
  <si>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</si>
  <si>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</si>
  <si>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</si>
  <si>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</si>
  <si>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</si>
  <si>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</si>
  <si>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</si>
  <si>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</si>
  <si>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</si>
  <si>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</si>
  <si>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</si>
  <si>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</si>
  <si>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</si>
  <si>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</si>
  <si>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</si>
  <si>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</si>
  <si>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</si>
  <si>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</si>
  <si>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</si>
  <si>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</si>
  <si>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</si>
  <si>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</si>
  <si>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</si>
  <si>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</si>
  <si>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</si>
  <si>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</si>
  <si>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</si>
  <si>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</si>
  <si>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</si>
  <si>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</si>
  <si>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</si>
  <si>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</si>
  <si>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</si>
  <si>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</si>
  <si>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</si>
  <si>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</si>
  <si>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</si>
  <si>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</si>
  <si>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</si>
  <si>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</si>
  <si>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</si>
  <si>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</si>
  <si>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</si>
  <si>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</si>
  <si>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</si>
  <si>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</si>
  <si>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</si>
  <si>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</si>
  <si>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</si>
  <si>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</si>
  <si>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</si>
  <si>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</si>
  <si>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</si>
  <si>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</si>
  <si>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</si>
  <si>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</si>
  <si>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</si>
  <si>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</si>
  <si>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</si>
  <si>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</si>
  <si>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</si>
  <si>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</si>
  <si>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</si>
  <si>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</si>
  <si>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</si>
  <si>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</si>
  <si>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</si>
  <si>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</si>
  <si>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</si>
  <si>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</si>
  <si>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</si>
  <si>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</si>
  <si>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</si>
  <si>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</si>
  <si>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</si>
  <si>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</si>
  <si>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</si>
  <si>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</si>
  <si>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</si>
  <si>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</si>
  <si>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</si>
  <si>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</si>
  <si>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</si>
  <si>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</si>
  <si>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</si>
  <si>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</si>
  <si>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</si>
  <si>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</si>
  <si>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</si>
  <si>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</si>
  <si>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</si>
  <si>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</si>
  <si>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</si>
  <si>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</si>
  <si>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</si>
  <si>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</si>
  <si>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</si>
  <si>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</si>
  <si>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</si>
  <si>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</si>
  <si>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</si>
  <si>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</si>
  <si>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</si>
  <si>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</si>
  <si>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</si>
  <si>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</si>
  <si>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</si>
  <si>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</si>
  <si>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</si>
  <si>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</si>
  <si>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</si>
  <si>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</si>
  <si>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</si>
  <si>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Descarga de dormentes km 118+00; - Descarga de dormentes km114+300; - Recolher Jacaré km113+300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</si>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</sst>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211" activePane="topRight" state="frozen"/>
      <selection pane="topRight" activeCell="AE236" sqref="AE2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V8946063</v>
      </c>
      <c r="B234" s="102">
        <v>46063</v>
      </c>
      <c r="C234" s="135">
        <f>IF(BS_CONTROLE[[#This Row],[DATA]]="","",WEEKNUM(BS_CONTROLE[[#This Row],[DATA]]))</f>
        <v>7</v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>W60</v>
      </c>
      <c r="B236" s="102"/>
      <c r="C236" s="135" t="str">
        <f>IF(BS_CONTROLE[[#This Row],[DATA]]="","",WEEKNUM(BS_CONTROLE[[#This Row],[DATA]]))</f>
        <v/>
      </c>
      <c r="D236" s="104" t="s">
        <v>826</v>
      </c>
      <c r="E236" s="159">
        <v>230</v>
      </c>
      <c r="F236" s="126" t="s">
        <v>756</v>
      </c>
      <c r="G236" s="142" t="str">
        <f>IF(D236="","*",VLOOKUP(F236,BS_ATIVIDADE[],3,FALSE))</f>
        <v>DORMENTE - DESCARGA</v>
      </c>
      <c r="H236" s="106" t="s">
        <v>212</v>
      </c>
      <c r="I236" s="106" t="s">
        <v>201</v>
      </c>
      <c r="J236" s="105">
        <v>48</v>
      </c>
      <c r="K236" s="105">
        <v>118</v>
      </c>
      <c r="L236" s="105">
        <v>113.3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6" s="106">
        <v>0.35416666666666669</v>
      </c>
      <c r="P236" s="106">
        <v>5.5555555555555552E-2</v>
      </c>
      <c r="Q236" s="105">
        <v>45</v>
      </c>
      <c r="R236" s="10" t="str">
        <f>IFERROR(_xlfn.XLOOKUP(F236, BS_ATIVIDADE[ATIVIDADE],BS_ATIVIDADE[UNIDADE] ), "*")</f>
        <v>Nº DE DORMENTES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6" s="105" t="s">
        <v>1220</v>
      </c>
      <c r="W236" s="151" t="s">
        <v>1360</v>
      </c>
      <c r="X236" s="104" t="s">
        <v>421</v>
      </c>
      <c r="Y236" s="129"/>
      <c r="Z236" s="104"/>
      <c r="AA236" s="105">
        <v>1</v>
      </c>
      <c r="AB236" s="103" t="s">
        <v>412</v>
      </c>
      <c r="AC236" s="152"/>
      <c r="AD236" s="107">
        <v>0.29166666666666669</v>
      </c>
      <c r="AE236" s="105"/>
      <c r="AF236" s="105"/>
      <c r="AG236" s="105"/>
      <c r="AH236" s="15"/>
      <c r="AI236" s="126" t="str">
        <f>IF(BS_CONTROLE[[#This Row],[Atividade]]=0, "-", BS_CONTROLE[[#This Row],[Atividade]])</f>
        <v>PDM - DESCARGA - DORMENTE</v>
      </c>
      <c r="AJ236" s="9" t="str">
        <f>IF(BS_CONTROLE[[#This Row],[Atividade]]=0, "-", BS_CONTROLE[[#This Row],[Atividade]])</f>
        <v>PDM - DESCARGA - DORMENTE</v>
      </c>
      <c r="AK236" s="31" t="str">
        <f>BS_CONTROLE[[#This Row],[Local - Partida]]</f>
        <v>ZEM1302</v>
      </c>
      <c r="AL236" s="31" t="str">
        <f>BS_CONTROLE[[#This Row],[Local - Encerramento]]</f>
        <v>102ZKW2</v>
      </c>
      <c r="AM236" s="105" t="str">
        <f>IF(BS_CONTROLE[[#This Row],[Entre - Estações]]=0, "-", BS_CONTROLE[[#This Row],[Entre - Estações]])</f>
        <v>ZLU-ZWI</v>
      </c>
      <c r="AN236" s="105" t="str">
        <f>IF(BS_CONTROLE[[#This Row],[SB]]=0, "-", BS_CONTROLE[[#This Row],[SB]])</f>
        <v>ZWI1131</v>
      </c>
      <c r="AO236" s="105">
        <f>IF(BS_CONTROLE[[#This Row],[SUB]]=0, "-", BS_CONTROLE[[#This Row],[SUB]])</f>
        <v>48</v>
      </c>
      <c r="AP236" s="105">
        <f>BS_CONTROLE[[#This Row],[KM - Inicio]]</f>
        <v>118</v>
      </c>
      <c r="AQ236" s="105">
        <f>BS_CONTROLE[[#This Row],[KM - Inicio]]</f>
        <v>118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DORMENTES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ZRB46063</v>
      </c>
      <c r="B239" s="102">
        <v>46063</v>
      </c>
      <c r="C239" s="135">
        <f>IF(BS_CONTROLE[[#This Row],[DATA]]="","",WEEKNUM(BS_CONTROLE[[#This Row],[DATA]]))</f>
        <v>7</v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1361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 t="s">
        <v>1362</v>
      </c>
      <c r="X239" s="104" t="s">
        <v>416</v>
      </c>
      <c r="Y239" s="129"/>
      <c r="Z239" s="104"/>
      <c r="AA239" s="105" t="s">
        <v>593</v>
      </c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W9746063</v>
      </c>
      <c r="B240" s="102">
        <v>46063</v>
      </c>
      <c r="C240" s="135">
        <f>IF(BS_CONTROLE[[#This Row],[DATA]]="","",WEEKNUM(BS_CONTROLE[[#This Row],[DATA]]))</f>
        <v>7</v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1363</v>
      </c>
      <c r="X240" s="104" t="s">
        <v>416</v>
      </c>
      <c r="Y240" s="129"/>
      <c r="Z240" s="104"/>
      <c r="AA240" s="105">
        <v>1</v>
      </c>
      <c r="AB240" s="103" t="s">
        <v>412</v>
      </c>
      <c r="AC240" s="152"/>
      <c r="AD240" s="107">
        <v>0.29166666666666669</v>
      </c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V9646063</v>
      </c>
      <c r="B241" s="102">
        <v>46063</v>
      </c>
      <c r="C241" s="135">
        <f>IF(BS_CONTROLE[[#This Row],[DATA]]="","",WEEKNUM(BS_CONTROLE[[#This Row],[DATA]]))</f>
        <v>7</v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1364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WAGNER (TP-903)46063</v>
      </c>
      <c r="B242" s="102">
        <v>46063</v>
      </c>
      <c r="C242" s="135">
        <f>IF(BS_CONTROLE[[#This Row],[DATA]]="","",WEEKNUM(BS_CONTROLE[[#This Row],[DATA]]))</f>
        <v>7</v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1055</v>
      </c>
      <c r="X242" s="104" t="s">
        <v>416</v>
      </c>
      <c r="Y242" s="129"/>
      <c r="Z242" s="104"/>
      <c r="AA242" s="105" t="s">
        <v>593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CAIQUE (TMA-677)46063</v>
      </c>
      <c r="B243" s="102">
        <v>46063</v>
      </c>
      <c r="C243" s="135">
        <f>IF(BS_CONTROLE[[#This Row],[DATA]]="","",WEEKNUM(BS_CONTROLE[[#This Row],[DATA]]))</f>
        <v>7</v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1366</v>
      </c>
      <c r="C4" s="160" t="s">
        <v>1367</v>
      </c>
      <c r="D4" s="160" t="s">
        <v>1368</v>
      </c>
      <c r="E4" s="160" t="s">
        <v>1369</v>
      </c>
      <c r="F4" s="160" t="s">
        <v>4</v>
      </c>
      <c r="G4" s="160" t="s">
        <v>1370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1371</v>
      </c>
      <c r="C6" s="161">
        <v>407867</v>
      </c>
      <c r="D6" s="161" t="s">
        <v>1372</v>
      </c>
      <c r="E6" s="161" t="s">
        <v>824</v>
      </c>
      <c r="F6" s="161" t="s">
        <v>1373</v>
      </c>
      <c r="G6" s="162"/>
    </row>
    <row r="7" spans="2:7">
      <c r="B7" s="161" t="s">
        <v>1374</v>
      </c>
      <c r="C7" s="161">
        <v>293644</v>
      </c>
      <c r="D7" s="161" t="s">
        <v>1375</v>
      </c>
      <c r="E7" s="161" t="s">
        <v>824</v>
      </c>
      <c r="F7" s="161" t="s">
        <v>1373</v>
      </c>
      <c r="G7" s="162"/>
    </row>
    <row r="8" spans="2:7">
      <c r="B8" s="161" t="s">
        <v>1376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1377</v>
      </c>
      <c r="C9" s="161">
        <v>256790</v>
      </c>
      <c r="D9" s="161" t="s">
        <v>1378</v>
      </c>
      <c r="E9" s="161" t="s">
        <v>825</v>
      </c>
      <c r="F9" s="161" t="s">
        <v>1379</v>
      </c>
      <c r="G9" s="162">
        <v>46357</v>
      </c>
    </row>
    <row r="10" spans="2:7">
      <c r="B10" s="161" t="s">
        <v>1380</v>
      </c>
      <c r="C10" s="161">
        <v>265193</v>
      </c>
      <c r="D10" s="161" t="s">
        <v>1381</v>
      </c>
      <c r="E10" s="161" t="s">
        <v>826</v>
      </c>
      <c r="F10" s="161" t="s">
        <v>54</v>
      </c>
      <c r="G10" s="161" t="s">
        <v>1382</v>
      </c>
    </row>
    <row r="11" spans="2:7">
      <c r="B11" s="161" t="s">
        <v>1383</v>
      </c>
      <c r="C11" s="161">
        <v>293716</v>
      </c>
      <c r="D11" s="161" t="s">
        <v>1384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1385</v>
      </c>
      <c r="C12" s="161">
        <v>257258</v>
      </c>
      <c r="D12" s="161" t="s">
        <v>1386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1387</v>
      </c>
      <c r="C13" s="161">
        <v>371147</v>
      </c>
      <c r="D13" s="161" t="s">
        <v>1388</v>
      </c>
      <c r="E13" s="161" t="s">
        <v>827</v>
      </c>
      <c r="F13" s="161" t="s">
        <v>71</v>
      </c>
      <c r="G13" s="161" t="s">
        <v>1382</v>
      </c>
    </row>
    <row r="14" spans="2:7">
      <c r="B14" s="161" t="s">
        <v>1389</v>
      </c>
      <c r="C14" s="161">
        <v>259230</v>
      </c>
      <c r="D14" s="161" t="s">
        <v>1390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1391</v>
      </c>
      <c r="C15" s="161">
        <v>370705</v>
      </c>
      <c r="D15" s="161"/>
      <c r="E15" s="161" t="s">
        <v>827</v>
      </c>
      <c r="F15" s="161" t="s">
        <v>71</v>
      </c>
      <c r="G15" s="161" t="s">
        <v>1382</v>
      </c>
    </row>
    <row r="16" spans="2:7">
      <c r="B16" s="161" t="s">
        <v>1392</v>
      </c>
      <c r="C16" s="161">
        <v>258542</v>
      </c>
      <c r="D16" s="161" t="s">
        <v>1393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1394</v>
      </c>
      <c r="C17" s="161">
        <v>257050</v>
      </c>
      <c r="D17" s="161" t="s">
        <v>1395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1397</v>
      </c>
      <c r="D4" s="163" t="s">
        <v>1398</v>
      </c>
      <c r="E4" s="163" t="s">
        <v>1399</v>
      </c>
      <c r="F4" s="160" t="s">
        <v>1400</v>
      </c>
      <c r="G4" s="163" t="s">
        <v>1401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1402</v>
      </c>
      <c r="G9" s="167"/>
    </row>
    <row r="10" spans="2:7" ht="19.5" customHeight="1">
      <c r="B10" s="167" t="s">
        <v>1404</v>
      </c>
      <c r="C10" s="167">
        <v>9038</v>
      </c>
      <c r="D10" s="168">
        <v>46049</v>
      </c>
      <c r="E10" s="167">
        <v>15098</v>
      </c>
      <c r="F10" s="169" t="s">
        <v>1405</v>
      </c>
      <c r="G10" s="167" t="s">
        <v>1406</v>
      </c>
    </row>
    <row r="11" spans="2:7" ht="19.5" customHeight="1">
      <c r="B11" s="167" t="s">
        <v>744</v>
      </c>
      <c r="C11" s="167" t="s">
        <v>1407</v>
      </c>
      <c r="D11" s="168">
        <v>46056</v>
      </c>
      <c r="E11" s="167">
        <v>9100</v>
      </c>
      <c r="F11" s="169" t="s">
        <v>1408</v>
      </c>
      <c r="G11" s="167" t="s">
        <v>1409</v>
      </c>
    </row>
    <row r="12" spans="2:7" ht="19.5" customHeight="1">
      <c r="B12" s="167" t="s">
        <v>744</v>
      </c>
      <c r="C12" s="167" t="s">
        <v>1410</v>
      </c>
      <c r="D12" s="168">
        <v>46058</v>
      </c>
      <c r="E12" s="167">
        <v>12000</v>
      </c>
      <c r="F12" s="169" t="s">
        <v>1402</v>
      </c>
      <c r="G12" s="167"/>
    </row>
    <row r="13" spans="2:7" ht="19.5" customHeight="1">
      <c r="B13" s="167" t="s">
        <v>744</v>
      </c>
      <c r="C13" s="167" t="s">
        <v>1411</v>
      </c>
      <c r="D13" s="168">
        <v>46058</v>
      </c>
      <c r="E13" s="167">
        <v>12000</v>
      </c>
      <c r="F13" s="169" t="s">
        <v>1402</v>
      </c>
      <c r="G13" s="167"/>
    </row>
    <row r="14" spans="2:7" ht="19.5" customHeight="1">
      <c r="B14" s="167" t="s">
        <v>744</v>
      </c>
      <c r="C14" s="167" t="s">
        <v>1412</v>
      </c>
      <c r="D14" s="168">
        <v>46058</v>
      </c>
      <c r="E14" s="167">
        <v>13800</v>
      </c>
      <c r="F14" s="169" t="s">
        <v>1402</v>
      </c>
      <c r="G14" s="167" t="s">
        <v>1413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1414</v>
      </c>
      <c r="D5" s="216"/>
      <c r="E5" s="216"/>
      <c r="F5" s="216"/>
      <c r="G5" s="216"/>
      <c r="H5" s="216"/>
      <c r="I5" s="216"/>
      <c r="J5" s="217"/>
      <c r="K5" s="218" t="s">
        <v>1415</v>
      </c>
      <c r="L5" s="219"/>
      <c r="M5" s="219"/>
      <c r="N5" s="219"/>
      <c r="O5" s="220" t="s">
        <v>1416</v>
      </c>
      <c r="P5" s="221"/>
    </row>
    <row r="6" spans="1:16" s="74" customFormat="1" ht="15" customHeight="1">
      <c r="A6" s="66" t="s">
        <v>1417</v>
      </c>
      <c r="B6" s="75" t="s">
        <v>1418</v>
      </c>
      <c r="C6" s="76" t="s">
        <v>992</v>
      </c>
      <c r="D6" s="77" t="s">
        <v>993</v>
      </c>
      <c r="E6" s="76" t="s">
        <v>1419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1420</v>
      </c>
      <c r="M6" s="80" t="s">
        <v>611</v>
      </c>
      <c r="N6" s="81" t="s">
        <v>987</v>
      </c>
      <c r="O6" s="158" t="s">
        <v>1030</v>
      </c>
      <c r="P6" s="133" t="s">
        <v>1421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W60</v>
      </c>
      <c r="F236" s="83" t="str">
        <f>IF(SP_SUL!H236="","*",SP_SUL!H236)</f>
        <v>ZEM1302</v>
      </c>
      <c r="G236" s="83" t="str">
        <f>IF(SP_SUL!M236="","*",SP_SUL!M236)</f>
        <v>ZLU-ZWI</v>
      </c>
      <c r="H236" s="116">
        <f>IF(SP_SUL!K236="","*",SP_SUL!K236)</f>
        <v>118</v>
      </c>
      <c r="I236" s="113">
        <f>IF(SP_SUL!O236="","*",SP_SUL!O236)</f>
        <v>0.35416666666666669</v>
      </c>
      <c r="J236" s="113">
        <f>IF(SP_SUL!P236="","*",SP_SUL!P236)</f>
        <v>5.5555555555555552E-2</v>
      </c>
      <c r="K236" s="83" t="str">
        <f>IF(SP_SUL!AK236="","*",SP_SUL!AK236)</f>
        <v>ZEM1302</v>
      </c>
      <c r="L236" s="83" t="str">
        <f>IF(SP_SUL!AM236="","*",SP_SUL!AM236)</f>
        <v>ZLU-ZWI</v>
      </c>
      <c r="M236" s="83">
        <f>IF(SP_SUL!AP236="","*",SP_SUL!AP236)</f>
        <v>118</v>
      </c>
      <c r="N236" s="83" t="str">
        <f>IF(SP_SUL!AM236="","*",SP_SUL!AM236)</f>
        <v>ZLU-ZWI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1422</v>
      </c>
      <c r="V1" s="227"/>
      <c r="W1" s="227"/>
    </row>
    <row r="2" spans="1:23" ht="15" customHeight="1">
      <c r="A2" s="87" t="s">
        <v>1423</v>
      </c>
      <c r="B2" s="87" t="s">
        <v>1418</v>
      </c>
      <c r="C2" s="87" t="s">
        <v>411</v>
      </c>
      <c r="D2" s="88" t="s">
        <v>992</v>
      </c>
      <c r="E2" s="88" t="s">
        <v>4</v>
      </c>
      <c r="F2" s="88" t="s">
        <v>1417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 t="str">
        <f>IF(SP_SUL!B236="","*",SP_SUL!B236)</f>
        <v>*</v>
      </c>
      <c r="G233" s="145" t="str">
        <f>IF(SP_SUL!D236="","*",SP_SUL!D236)</f>
        <v>W60</v>
      </c>
      <c r="H233" s="145" t="str">
        <f>IF(SP_SUL!F236="","*",SP_SUL!F236)</f>
        <v>PDM - DESCARGA - DORMENTE</v>
      </c>
      <c r="I233" s="145" t="str">
        <f>IF(SP_SUL!H236="","*",SP_SUL!H236)</f>
        <v>ZEM1302</v>
      </c>
      <c r="J233" s="145" t="str">
        <f>IF(SP_SUL!I236="","*",SP_SUL!I236)</f>
        <v>102ZKW2</v>
      </c>
      <c r="K233" s="139" t="str">
        <f>IF(SP_SUL!M236="","*",SP_SUL!M236)</f>
        <v>ZLU-ZWI</v>
      </c>
      <c r="L233" s="139" t="str">
        <f>IF(SP_SUL!N236="","*",SP_SUL!N236)</f>
        <v>ZWI1131</v>
      </c>
      <c r="M233" s="140">
        <f>IF(SP_SUL!J236="","*",SP_SUL!J236)</f>
        <v>48</v>
      </c>
      <c r="N233" s="144">
        <f>IF(SP_SUL!K236="","*",SP_SUL!K236)</f>
        <v>118</v>
      </c>
      <c r="O233" s="144">
        <f>IF(SP_SUL!L236="","*",SP_SUL!L236)</f>
        <v>113.3</v>
      </c>
      <c r="P233" s="143">
        <f>IF(SP_SUL!O236="","*",SP_SUL!O236)</f>
        <v>0.35416666666666669</v>
      </c>
      <c r="Q233" s="143">
        <f>IF(SP_SUL!P236="","*",SP_SUL!P236)</f>
        <v>5.5555555555555552E-2</v>
      </c>
      <c r="R233" s="145" t="str">
        <f>IF(SP_SUL!Q236="","*",CONCATENATE(SP_SUL!Q236," ",SP_SUL!R236))</f>
        <v>45 Nº DE DORMENTES</v>
      </c>
      <c r="S233" s="145" t="str">
        <f>IF(SP_SUL!V236="","*",SP_SUL!V236)</f>
        <v>Felipe</v>
      </c>
      <c r="T233" s="145" t="str">
        <f>IF(SP_SUL!W236="","*",SP_SUL!W236)</f>
        <v>Descarga de dormentes km 118+00; - Descarga de dormentes km114+300; - Recolher Jacaré km113+300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W97 solicita MC1 em ZEM-1 às 07h00 e circula até o km 155+700 em 156155-1;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*V96 solicita MC1 em K67ZEV-2 às 07h20 e circula até o km 157+300 em ZEV157-1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1425</v>
      </c>
      <c r="C2" s="121" t="s">
        <v>977</v>
      </c>
      <c r="D2" s="76" t="s">
        <v>979</v>
      </c>
      <c r="E2" s="76" t="s">
        <v>1426</v>
      </c>
      <c r="F2" s="99" t="s">
        <v>1427</v>
      </c>
      <c r="G2" s="76" t="s">
        <v>1428</v>
      </c>
      <c r="H2" s="76" t="s">
        <v>1429</v>
      </c>
      <c r="I2" s="76" t="s">
        <v>1430</v>
      </c>
      <c r="J2" s="76" t="s">
        <v>1431</v>
      </c>
      <c r="K2" s="78" t="s">
        <v>1432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W60</v>
      </c>
      <c r="E232" s="94" t="str">
        <f>IF(SP_SUL!H236="","*",SP_SUL!H236)</f>
        <v>ZEM1302</v>
      </c>
      <c r="F232" s="100" t="str">
        <f>IF(SP_SUL!M236="","*",SP_SUL!M236)</f>
        <v>ZLU-ZWI</v>
      </c>
      <c r="G232" s="95" t="str">
        <f>IF(SP_SUL!I236="","*",SP_SUL!I236)</f>
        <v>102ZKW2</v>
      </c>
      <c r="H232" s="95" t="str">
        <f>IF(SP_SUL!AB236="","*",SP_SUL!AB236)</f>
        <v>FIXO</v>
      </c>
      <c r="I232" s="95" t="str">
        <f>IF(SP_SUL!AC236="","*",SP_SUL!AC236)</f>
        <v>*</v>
      </c>
      <c r="J232" s="96">
        <f>IF(SP_SUL!AA236="","*",SP_SUL!AA236)</f>
        <v>1</v>
      </c>
      <c r="K232" s="97">
        <f>IF(SP_SUL!AD236="","*",SP_SUL!AD236)</f>
        <v>0.29166666666666669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-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FIXO</v>
      </c>
      <c r="I236" s="95" t="str">
        <f>IF(SP_SUL!AC240="","*",SP_SUL!AC240)</f>
        <v>*</v>
      </c>
      <c r="J236" s="96">
        <f>IF(SP_SUL!AA240="","*",SP_SUL!AA240)</f>
        <v>1</v>
      </c>
      <c r="K236" s="97">
        <f>IF(SP_SUL!AD240="","*",SP_SUL!AD240)</f>
        <v>0.29166666666666669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-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2026-02-09T16:27:16Z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