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23" documentId="8_{B6337239-1A00-434D-AAD0-422EA1FEB5AE}" xr6:coauthVersionLast="47" xr6:coauthVersionMax="47" xr10:uidLastSave="{3A93E69C-2974-41FE-9889-EE1699346D3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55" i="1" l="1" a="1"/>
  <c r="N455" i="1" s="1"/>
  <c r="M455" i="1" a="1"/>
  <c r="M455" i="1" s="1"/>
  <c r="N519" i="1" a="1"/>
  <c r="N519" i="1" s="1"/>
  <c r="M519" i="1" a="1"/>
  <c r="M519" i="1" s="1"/>
  <c r="N518" i="1" a="1"/>
  <c r="N518" i="1" s="1"/>
  <c r="M518" i="1" a="1"/>
  <c r="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5" i="1" a="1"/>
  <c r="N555" i="1" s="1"/>
  <c r="M555" i="1" a="1"/>
  <c r="M555" i="1" s="1"/>
  <c r="N554" i="1" a="1"/>
  <c r="N554" i="1" s="1"/>
  <c r="M554" i="1" a="1"/>
  <c r="M554" i="1" s="1"/>
  <c r="N553" i="1" a="1"/>
  <c r="N553" i="1" s="1"/>
  <c r="M553" i="1" a="1"/>
  <c r="M553" i="1" s="1"/>
  <c r="N552" i="1" a="1"/>
  <c r="N552" i="1" s="1"/>
  <c r="M552" i="1" a="1"/>
  <c r="M552" i="1" s="1"/>
  <c r="N551" i="1" a="1"/>
  <c r="N551" i="1" s="1"/>
  <c r="M551" i="1" a="1"/>
  <c r="M551" i="1" s="1"/>
  <c r="N550" i="1" a="1"/>
  <c r="N550" i="1" s="1"/>
  <c r="M550" i="1" a="1"/>
  <c r="M550" i="1" s="1"/>
  <c r="N549" i="1" a="1"/>
  <c r="N549" i="1" s="1"/>
  <c r="M549" i="1" a="1"/>
  <c r="M549" i="1" s="1"/>
  <c r="N548" i="1" a="1"/>
  <c r="N548" i="1" s="1"/>
  <c r="M548" i="1" a="1"/>
  <c r="M548" i="1" s="1"/>
  <c r="N547" i="1" a="1"/>
  <c r="N547" i="1" s="1"/>
  <c r="M547" i="1" a="1"/>
  <c r="M547" i="1" s="1"/>
  <c r="N546" i="1" a="1"/>
  <c r="N546" i="1" s="1"/>
  <c r="M546" i="1" a="1"/>
  <c r="M546" i="1" s="1"/>
  <c r="N545" i="1" a="1"/>
  <c r="N545" i="1" s="1"/>
  <c r="M545" i="1" a="1"/>
  <c r="M545" i="1" s="1"/>
  <c r="N544" i="1" a="1"/>
  <c r="N544" i="1" s="1"/>
  <c r="M544" i="1" a="1"/>
  <c r="M544" i="1" s="1"/>
  <c r="N543" i="1" a="1"/>
  <c r="N543" i="1" s="1"/>
  <c r="M543" i="1" a="1"/>
  <c r="M543" i="1" s="1"/>
  <c r="N542" i="1" a="1"/>
  <c r="N542" i="1" s="1"/>
  <c r="M542" i="1" a="1"/>
  <c r="M542" i="1" s="1"/>
  <c r="N541" i="1" a="1"/>
  <c r="N541" i="1" s="1"/>
  <c r="M541" i="1" a="1"/>
  <c r="M541" i="1" s="1"/>
  <c r="N540" i="1" a="1"/>
  <c r="N540" i="1" s="1"/>
  <c r="M540" i="1" a="1"/>
  <c r="M540" i="1" s="1"/>
  <c r="N539" i="1" a="1"/>
  <c r="N539" i="1" s="1"/>
  <c r="M539" i="1" a="1"/>
  <c r="M539" i="1" s="1"/>
  <c r="N538" i="1" a="1"/>
  <c r="N538" i="1" s="1"/>
  <c r="M538" i="1" a="1"/>
  <c r="M538" i="1" s="1"/>
  <c r="N537" i="1" a="1"/>
  <c r="N537" i="1" s="1"/>
  <c r="M537" i="1" a="1"/>
  <c r="M537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2" i="1" a="1"/>
  <c r="N532" i="1" s="1"/>
  <c r="M532" i="1" a="1"/>
  <c r="M532" i="1" s="1"/>
  <c r="N531" i="1" a="1"/>
  <c r="N531" i="1" s="1"/>
  <c r="M531" i="1" a="1"/>
  <c r="M531" i="1" s="1"/>
  <c r="N530" i="1" a="1"/>
  <c r="N530" i="1" s="1"/>
  <c r="M530" i="1" a="1"/>
  <c r="M530" i="1" s="1"/>
  <c r="N529" i="1" a="1"/>
  <c r="N529" i="1" s="1"/>
  <c r="M529" i="1" a="1"/>
  <c r="M529" i="1" s="1"/>
  <c r="N528" i="1" a="1"/>
  <c r="N528" i="1" s="1"/>
  <c r="M528" i="1" a="1"/>
  <c r="M528" i="1" s="1"/>
  <c r="N527" i="1" a="1"/>
  <c r="N527" i="1" s="1"/>
  <c r="M527" i="1" a="1"/>
  <c r="M527" i="1" s="1"/>
  <c r="N526" i="1" a="1"/>
  <c r="N526" i="1" s="1"/>
  <c r="M526" i="1" a="1"/>
  <c r="M526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2" i="1" a="1"/>
  <c r="N522" i="1" s="1"/>
  <c r="M522" i="1" a="1"/>
  <c r="M522" i="1" s="1"/>
  <c r="N521" i="1" a="1"/>
  <c r="N521" i="1" s="1"/>
  <c r="M521" i="1" a="1"/>
  <c r="M521" i="1" s="1"/>
  <c r="N520" i="1" a="1"/>
  <c r="N520" i="1" s="1"/>
  <c r="M520" i="1" a="1"/>
  <c r="M520" i="1" s="1"/>
  <c r="N515" i="1" a="1"/>
  <c r="N515" i="1" s="1"/>
  <c r="M515" i="1" a="1"/>
  <c r="M515" i="1" s="1"/>
  <c r="N514" i="1" a="1"/>
  <c r="N514" i="1" s="1"/>
  <c r="M514" i="1" a="1"/>
  <c r="M514" i="1" s="1"/>
  <c r="N511" i="1" a="1"/>
  <c r="N511" i="1" s="1"/>
  <c r="M511" i="1" a="1"/>
  <c r="M511" i="1" s="1"/>
  <c r="N510" i="1" a="1"/>
  <c r="N510" i="1" s="1"/>
  <c r="M510" i="1" a="1"/>
  <c r="M510" i="1" s="1"/>
  <c r="N509" i="1" a="1"/>
  <c r="N509" i="1" s="1"/>
  <c r="M509" i="1" a="1"/>
  <c r="M509" i="1" s="1"/>
  <c r="N508" i="1" a="1"/>
  <c r="N508" i="1" s="1"/>
  <c r="M508" i="1" a="1"/>
  <c r="M508" i="1" s="1"/>
  <c r="N507" i="1" a="1"/>
  <c r="N507" i="1" s="1"/>
  <c r="M507" i="1" a="1"/>
  <c r="M507" i="1" s="1"/>
  <c r="N506" i="1" a="1"/>
  <c r="N506" i="1" s="1"/>
  <c r="M506" i="1" a="1"/>
  <c r="M506" i="1" s="1"/>
  <c r="N505" i="1" a="1"/>
  <c r="N505" i="1" s="1"/>
  <c r="M505" i="1" a="1"/>
  <c r="M505" i="1" s="1"/>
  <c r="N504" i="1" a="1"/>
  <c r="N504" i="1" s="1"/>
  <c r="M504" i="1" a="1"/>
  <c r="M504" i="1" s="1"/>
  <c r="N503" i="1" a="1"/>
  <c r="N503" i="1" s="1"/>
  <c r="M503" i="1" a="1"/>
  <c r="M503" i="1" s="1"/>
  <c r="N502" i="1" a="1"/>
  <c r="N502" i="1" s="1"/>
  <c r="M502" i="1" a="1"/>
  <c r="M502" i="1" s="1"/>
  <c r="N501" i="1" a="1"/>
  <c r="N501" i="1" s="1"/>
  <c r="M501" i="1" a="1"/>
  <c r="M501" i="1" s="1"/>
  <c r="M500" i="1" a="1"/>
  <c r="M500" i="1" s="1"/>
  <c r="N498" i="1" a="1"/>
  <c r="N498" i="1" s="1"/>
  <c r="M498" i="1" a="1"/>
  <c r="M498" i="1" s="1"/>
  <c r="N497" i="1" a="1"/>
  <c r="N497" i="1" s="1"/>
  <c r="M497" i="1" a="1"/>
  <c r="M497" i="1" s="1"/>
  <c r="N496" i="1" a="1"/>
  <c r="N496" i="1" s="1"/>
  <c r="M496" i="1" a="1"/>
  <c r="M496" i="1" s="1"/>
  <c r="N495" i="1" a="1"/>
  <c r="N495" i="1" s="1"/>
  <c r="M495" i="1" a="1"/>
  <c r="M495" i="1" s="1"/>
  <c r="N494" i="1" a="1"/>
  <c r="N494" i="1" s="1"/>
  <c r="M494" i="1" a="1"/>
  <c r="M494" i="1" s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92" i="1" a="1"/>
  <c r="N492" i="1" s="1"/>
  <c r="M492" i="1" a="1"/>
  <c r="M492" i="1" s="1"/>
  <c r="N489" i="1" a="1"/>
  <c r="N489" i="1" s="1"/>
  <c r="M489" i="1" a="1"/>
  <c r="M48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F490" i="1"/>
  <c r="BR490" i="1"/>
  <c r="BS490" i="1"/>
  <c r="A491" i="1"/>
  <c r="G491" i="1"/>
  <c r="R491" i="1"/>
  <c r="S489" i="12" s="1"/>
  <c r="U491" i="1"/>
  <c r="AI491" i="1"/>
  <c r="BB491" i="1" s="1"/>
  <c r="AK491" i="1"/>
  <c r="AL491" i="1"/>
  <c r="AO491" i="1"/>
  <c r="AP491" i="1"/>
  <c r="AQ491" i="1"/>
  <c r="AY491" i="1"/>
  <c r="BR491" i="1" s="1"/>
  <c r="BF491" i="1"/>
  <c r="BS491" i="1"/>
  <c r="A492" i="1"/>
  <c r="G492" i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F496" i="1"/>
  <c r="BR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55" i="1" l="1"/>
  <c r="AJ493" i="1"/>
  <c r="AJ513" i="1"/>
  <c r="AJ519" i="1"/>
  <c r="AJ518" i="1"/>
  <c r="AJ517" i="1"/>
  <c r="AJ514" i="1"/>
  <c r="AJ516" i="1"/>
  <c r="AJ515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5" i="1"/>
  <c r="AJ494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<sst xmlns="http://schemas.openxmlformats.org/spreadsheetml/2006/main" count="11159" uniqueCount="1695">
  <si>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</si>
  <si>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</si>
  <si>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</si>
  <si>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</si>
  <si>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</si>
  <si>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</si>
  <si>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</si>
  <si>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</si>
  <si>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</si>
  <si>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</si>
  <si>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</si>
  <si>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</si>
  <si>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</si>
  <si>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</si>
  <si>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</si>
  <si>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</si>
  <si>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</si>
  <si>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</si>
  <si>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</si>
  <si>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</si>
  <si>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</si>
  <si>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</si>
  <si>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</si>
  <si>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</si>
  <si>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</si>
  <si>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</si>
  <si>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</si>
  <si>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</si>
  <si>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</si>
  <si>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</si>
  <si>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</si>
  <si>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</si>
  <si>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</si>
  <si>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</si>
  <si>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</si>
  <si>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</si>
  <si>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</si>
  <si>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</si>
  <si>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</si>
  <si>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</si>
  <si>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</si>
  <si>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</si>
  <si>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</si>
  <si>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</si>
  <si>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</si>
  <si>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</si>
  <si>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</si>
  <si>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</si>
  <si>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</si>
  <si>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</si>
  <si>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</si>
  <si>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</si>
  <si>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</si>
  <si>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</si>
  <si>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</si>
  <si>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</si>
  <si>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</si>
  <si>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</si>
  <si>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</si>
  <si>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</si>
  <si>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</si>
  <si>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</si>
  <si>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</si>
  <si>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</si>
  <si>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</si>
  <si>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</si>
  <si>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</si>
  <si>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</si>
  <si>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</si>
  <si>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</si>
  <si>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</si>
  <si>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</si>
  <si>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</si>
  <si>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</si>
  <si>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</si>
  <si>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</si>
  <si>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</si>
  <si>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</si>
  <si>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</si>
  <si>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</si>
  <si>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</si>
  <si>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</si>
  <si>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</si>
  <si>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</si>
  <si>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</si>
  <si>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</si>
  <si>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</si>
  <si>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</si>
  <si>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</si>
  <si>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</si>
  <si>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</si>
  <si>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</si>
  <si>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</si>
  <si>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</si>
  <si>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</si>
  <si>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</si>
  <si>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</si>
  <si>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</si>
  <si>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</si>
  <si>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</si>
  <si>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</si>
  <si>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</si>
  <si>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</si>
  <si>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</si>
  <si>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</si>
  <si>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</si>
  <si>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</si>
  <si>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</si>
  <si>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</si>
  <si>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</si>
  <si>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</si>
  <si>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</si>
  <si>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</si>
  <si>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</si>
  <si>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</si>
  <si>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</si>
  <si>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</si>
  <si>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</si>
  <si>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</si>
  <si>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</si>
  <si>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</si>
  <si>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</si>
  <si>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</si>
  <si>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</si>
  <si>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</si>
  <si>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</si>
  <si>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</si>
  <si>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</si>
  <si>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</si>
  <si>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</si>
  <si>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</si>
  <si>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</si>
  <si>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</si>
  <si>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</si>
  <si>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</si>
  <si>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</si>
  <si>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</si>
  <si>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</si>
  <si>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</si>
  <si>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</si>
  <si>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</si>
  <si>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</si>
  <si>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</si>
  <si>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</si>
  <si>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</si>
  <si>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</si>
  <si>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</si>
  <si>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</si>
  <si>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</si>
  <si>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</si>
  <si>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</si>
  <si>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</si>
  <si>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</si>
  <si>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</si>
  <si>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</si>
  <si>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</si>
  <si>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</si>
  <si>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</si>
  <si>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</si>
  <si>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</si>
  <si>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</si>
  <si>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</si>
  <si>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</si>
  <si>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</si>
  <si>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</si>
  <si>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</si>
  <si>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</si>
  <si>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</si>
  <si>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</si>
  <si>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</si>
  <si>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</si>
  <si>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</si>
  <si>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</si>
  <si>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</si>
  <si>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</si>
  <si>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</si>
  <si>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</si>
  <si>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</si>
  <si>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</si>
  <si>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</si>
  <si>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</si>
  <si>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</si>
  <si>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</si>
  <si>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</si>
  <si>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</si>
  <si>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</si>
  <si>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</si>
  <si>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</si>
  <si>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</si>
  <si>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</si>
  <si>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</si>
  <si>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</si>
  <si>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</si>
  <si>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</si>
  <si>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</si>
  <si>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</si>
  <si>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</si>
  <si>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</si>
  <si>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</si>
  <si>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</si>
  <si>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</si>
  <si>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</si>
  <si>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</si>
  <si>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</si>
  <si>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</si>
  <si>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</si>
  <si>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</si>
  <si>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</si>
  <si>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</si>
  <si>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</si>
  <si>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</si>
  <si>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</si>
  <si>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</si>
  <si>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</si>
  <si>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</si>
  <si>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</si>
  <si>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</si>
  <si>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</si>
  <si>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</si>
  <si>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</si>
  <si>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</si>
  <si>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</si>
  <si>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</si>
  <si>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</si>
  <si>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</si>
  <si>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</si>
  <si>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</si>
  <si>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</si>
  <si>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</si>
  <si>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</si>
  <si>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</si>
  <si>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</si>
  <si>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</si>
  <si>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</si>
  <si>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</si>
  <si>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</si>
  <si>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</si>
  <si>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</si>
  <si>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</si>
  <si>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</si>
  <si>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</si>
  <si>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</si>
  <si>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</si>
  <si>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</si>
  <si>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</si>
  <si>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</si>
  <si>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</si>
  <si>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</si>
  <si>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</si>
  <si>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</si>
  <si>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</si>
  <si>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</si>
  <si>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</si>
  <si>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</si>
  <si>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</si>
  <si>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</si>
  <si>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</si>
  <si>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</si>
  <si>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</si>
  <si>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</si>
  <si>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</si>
  <si>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</si>
  <si>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</si>
  <si>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</si>
  <si>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</si>
  <si>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</si>
  <si>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</si>
  <si>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</si>
  <si>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</si>
  <si>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</si>
  <si>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</si>
  <si>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</si>
  <si>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</si>
  <si>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</si>
  <si>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</si>
  <si>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</si>
  <si>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</si>
  <si>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</si>
  <si>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</si>
  <si>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</si>
  <si>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</si>
  <si>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</si>
  <si>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</si>
  <si>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</si>
  <si>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</si>
  <si>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</si>
  <si>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</si>
  <si>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</si>
  <si>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</si>
  <si>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</si>
  <si>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</si>
  <si>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</si>
  <si>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</si>
  <si>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</si>
  <si>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</si>
  <si>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</si>
  <si>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</si>
  <si>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</si>
  <si>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</si>
  <si>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</si>
  <si>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</si>
  <si>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</si>
  <si>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</si>
  <si>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</si>
  <si>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</si>
  <si>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</si>
  <si>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</si>
  <si>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</si>
  <si>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</si>
  <si>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</si>
  <si>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</si>
  <si>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</si>
  <si>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</si>
  <si>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</si>
  <si>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</si>
  <si>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</si>
  <si>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</si>
  <si>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</si>
  <si>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</si>
  <si>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</si>
  <si>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</si>
  <si>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</si>
  <si>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</si>
  <si>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</si>
  <si>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</si>
  <si>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</si>
  <si>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</si>
  <si>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</si>
  <si>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</si>
  <si>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</si>
  <si>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</si>
  <si>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</si>
  <si>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</si>
  <si>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</si>
  <si>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</si>
  <si>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</si>
  <si>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</si>
  <si>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</si>
  <si>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</si>
  <si>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</si>
  <si>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</si>
  <si>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</si>
  <si>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</si>
  <si>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</si>
  <si>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</si>
  <si>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</si>
  <si>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</si>
  <si>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</si>
  <si>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</si>
  <si>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</si>
  <si>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</si>
  <si>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</si>
  <si>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</si>
  <si>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</si>
  <si>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</si>
  <si>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</si>
  <si>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</si>
  <si>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</si>
  <si>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</si>
  <si>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</si>
  <si>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</si>
  <si>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</si>
  <si>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</si>
  <si>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</si>
  <si>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</si>
  <si>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</si>
  <si>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</si>
  <si>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</si>
  <si>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</si>
  <si>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</si>
  <si>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</si>
  <si>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</si>
  <si>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</si>
  <si>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</si>
  <si>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</si>
  <si>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</si>
  <si>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</si>
  <si>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</si>
  <si>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</si>
  <si>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</si>
  <si>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</si>
  <si>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</si>
  <si>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</si>
  <si>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</si>
  <si>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</si>
  <si>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</si>
  <si>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</si>
  <si>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</si>
  <si>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</si>
  <si>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</si>
  <si>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</si>
  <si>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</si>
  <si>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</si>
  <si>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</si>
  <si>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</si>
  <si>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</si>
  <si>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</si>
  <si>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</si>
  <si>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</si>
  <si>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</si>
  <si>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</si>
  <si>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</si>
  <si>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</si>
  <si>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</si>
  <si>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</si>
  <si>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</si>
  <si>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</si>
  <si>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</si>
  <si>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</si>
  <si>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</si>
  <si>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</si>
  <si>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</si>
  <si>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</si>
  <si>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</si>
  <si>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</si>
  <si>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</si>
  <si>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</si>
  <si>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</si>
  <si>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</si>
  <si>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</si>
  <si>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</si>
  <si>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</si>
  <si>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</si>
  <si>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</si>
  <si>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</si>
  <si>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</si>
  <si>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</si>
  <si>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</si>
  <si>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</si>
  <si>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</si>
  <si>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</si>
  <si>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</si>
  <si>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</si>
  <si>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</si>
  <si>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</si>
  <si>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</si>
  <si>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</si>
  <si>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</si>
  <si>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</si>
  <si>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</si>
  <si>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</si>
  <si>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</si>
  <si>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</si>
  <si>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</si>
  <si>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</si>
  <si>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</si>
  <si>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</si>
  <si>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</si>
  <si>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</si>
  <si>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</si>
  <si>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</si>
  <si>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</si>
  <si>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</si>
  <si>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</si>
  <si>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</si>
  <si>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</si>
  <si>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</si>
  <si>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</si>
  <si>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</si>
  <si>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</si>
  <si>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</si>
  <si>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</si>
  <si>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</si>
  <si>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</si>
  <si>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</si>
  <si>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</si>
  <si>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</si>
  <si>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</si>
  <si>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</si>
  <si>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</si>
  <si>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</si>
  <si>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</si>
  <si>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</si>
  <si>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</si>
  <si>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</si>
  <si>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</si>
  <si>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</si>
  <si>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</si>
  <si>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</si>
  <si>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</si>
  <si>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</si>
  <si>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</si>
  <si>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</si>
  <si>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</si>
  <si>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</si>
  <si>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</si>
  <si>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</si>
  <si>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</si>
  <si>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</si>
  <si>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</si>
  <si>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</si>
  <si>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</si>
  <si>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</si>
  <si>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</si>
  <si>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</si>
  <si>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</si>
  <si>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</si>
  <si>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</si>
  <si>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</si>
  <si>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</si>
  <si>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</si>
  <si>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</si>
  <si>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</si>
  <si>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</si>
  <si>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</si>
  <si>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</si>
  <si>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</si>
  <si>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</si>
  <si>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</si>
  <si>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</si>
  <si>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</si>
  <si>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</si>
  <si>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</si>
  <si>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</si>
  <si>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</si>
  <si>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</si>
  <si>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</si>
  <si>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</si>
  <si>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</si>
  <si>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</si>
  <si>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</si>
  <si>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</si>
  <si>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</si>
  <si>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</si>
  <si>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</si>
  <si>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</si>
  <si>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</si>
  <si>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</si>
  <si>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</si>
  <si>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</si>
  <si>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</si>
  <si>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</si>
  <si>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</si>
  <si>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</si>
  <si>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</si>
  <si>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</si>
  <si>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</si>
  <si>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</si>
  <si>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</si>
  <si>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</si>
  <si>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</si>
  <si>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</si>
  <si>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</si>
  <si>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</si>
  <si>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</si>
  <si>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</si>
  <si>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</si>
  <si>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</si>
  <si>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</si>
  <si>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</si>
  <si>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</si>
  <si>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</si>
  <si>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</si>
  <si>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</si>
  <si>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</si>
  <si>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</si>
  <si>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</si>
  <si>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</si>
  <si>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</si>
  <si>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</si>
  <si>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</si>
  <si>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</si>
  <si>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</si>
  <si>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</si>
  <si>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</si>
  <si>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</si>
  <si>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</si>
  <si>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</si>
  <si>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</si>
  <si>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</si>
  <si>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</si>
  <si>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</si>
  <si>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</si>
  <si>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</si>
  <si>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</si>
  <si>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</si>
  <si>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</si>
  <si>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</si>
  <si>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</si>
  <si>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</si>
  <si>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</si>
  <si>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</si>
  <si>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</si>
  <si>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</si>
  <si>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</si>
  <si>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</si>
  <si>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</si>
  <si>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</si>
  <si>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</si>
  <si>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</si>
  <si>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</si>
  <si>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</si>
  <si>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</si>
  <si>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</si>
  <si>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</si>
  <si>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</si>
  <si>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</si>
  <si>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</si>
  <si>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</si>
  <si>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</si>
  <si>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</si>
  <si>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</si>
  <si>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</si>
  <si>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</si>
  <si>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</si>
  <si>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</si>
  <si>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</si>
  <si>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</si>
  <si>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</si>
  <si>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</si>
  <si>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</si>
  <si>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</si>
  <si>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</si>
  <si>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</si>
  <si>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</si>
  <si>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</si>
  <si>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</si>
  <si>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</si>
  <si>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</si>
  <si>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</si>
  <si>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</si>
  <si>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</si>
  <si>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</si>
  <si>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</si>
  <si>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</si>
  <si>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</si>
  <si>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</si>
  <si>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</si>
  <si>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</si>
  <si>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</si>
  <si>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</si>
  <si>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</si>
  <si>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</si>
  <si>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</si>
  <si>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</si>
  <si>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</si>
  <si>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</si>
  <si>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</si>
  <si>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</si>
  <si>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</si>
  <si>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</si>
  <si>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</si>
  <si>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</si>
  <si>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</si>
  <si>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</si>
  <si>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</si>
  <si>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</si>
  <si>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</si>
  <si>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</si>
  <si>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</si>
  <si>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</si>
  <si>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</si>
  <si>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</si>
  <si>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</si>
  <si>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</si>
  <si>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</si>
  <si>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</si>
  <si>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</si>
  <si>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</si>
  <si>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</si>
  <si>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</si>
  <si>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</si>
  <si>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</si>
  <si>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</si>
  <si>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</si>
  <si>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</si>
  <si>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</si>
  <si>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</si>
  <si>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</si>
  <si>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</si>
  <si>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</si>
  <si>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</si>
  <si>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</si>
  <si>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</si>
  <si>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</si>
  <si>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</si>
  <si>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</si>
  <si>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</si>
  <si>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</si>
  <si>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</si>
  <si>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</si>
  <si>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</si>
  <si>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</si>
  <si>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</si>
  <si>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</si>
  <si>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</si>
  <si>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</si>
  <si>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</si>
  <si>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</si>
  <si>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</si>
  <si>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</si>
  <si>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</si>
  <si>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</si>
  <si>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</si>
  <si>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</si>
  <si>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</si>
  <si>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</si>
  <si>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</si>
  <si>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</si>
  <si>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</si>
  <si>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</si>
  <si>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</si>
  <si>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</si>
  <si>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</si>
  <si>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</si>
  <si>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</si>
  <si>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</si>
  <si>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</si>
  <si>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</si>
  <si>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</si>
  <si>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</si>
  <si>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</si>
  <si>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</si>
  <si>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</si>
  <si>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</si>
  <si>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</si>
  <si>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</si>
  <si>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</si>
  <si>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</si>
  <si>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</si>
  <si>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</si>
  <si>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</si>
  <si>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</si>
  <si>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</si>
  <si>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</si>
  <si>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</si>
  <si>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</si>
  <si>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</si>
  <si>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</si>
  <si>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</si>
  <si>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</si>
  <si>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</si>
  <si>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</si>
  <si>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</si>
  <si>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</si>
  <si>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</si>
  <si>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</si>
  <si>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</si>
  <si>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</si>
  <si>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</si>
  <si>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</si>
  <si>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</si>
  <si>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</si>
  <si>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</si>
  <si>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</si>
  <si>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</si>
  <si>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</si>
  <si>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</si>
  <si>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</si>
  <si>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</si>
  <si>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</si>
  <si>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</si>
  <si>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</si>
  <si>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</si>
  <si>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</si>
  <si>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</si>
  <si>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</si>
  <si>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</si>
  <si>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</si>
  <si>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</si>
  <si>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</si>
  <si>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</si>
  <si>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</si>
  <si>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</si>
  <si>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</si>
  <si>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</si>
  <si>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</si>
  <si>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</si>
  <si>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</si>
  <si>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</si>
  <si>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</si>
  <si>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</si>
  <si>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</si>
  <si>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</si>
  <si>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</si>
  <si>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</si>
  <si>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</si>
  <si>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</si>
  <si>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</si>
  <si>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</si>
  <si>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</si>
  <si>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</si>
  <si>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</si>
  <si>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</si>
  <si>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</si>
  <si>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</si>
  <si>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</si>
  <si>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</si>
  <si>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</si>
  <si>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</si>
  <si>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</si>
  <si>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</si>
  <si>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</si>
  <si>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</si>
  <si>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</si>
  <si>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</si>
  <si>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</si>
  <si>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</si>
  <si>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</si>
  <si>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</si>
  <si>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</si>
  <si>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</si>
  <si>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</si>
  <si>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</si>
  <si>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</si>
  <si>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</si>
  <si>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</si>
  <si>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</si>
  <si>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</si>
  <si>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</si>
  <si>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</si>
  <si>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</si>
  <si>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</si>
  <si>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</si>
  <si>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</si>
  <si>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</si>
  <si>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</si>
  <si>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</si>
  <si>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</si>
  <si>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</si>
  <si>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</si>
  <si>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</si>
  <si>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</si>
  <si>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</si>
  <si>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</si>
  <si>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</si>
  <si>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</si>
  <si>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</si>
  <si>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</si>
  <si>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</si>
  <si>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</si>
  <si>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</si>
  <si>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</si>
  <si>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</si>
  <si>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</si>
  <si>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</si>
  <si>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</si>
  <si>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</si>
  <si>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</si>
  <si>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</si>
  <si>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</si>
  <si>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</si>
  <si>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</si>
  <si>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</si>
  <si>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</si>
  <si>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</si>
  <si>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</si>
  <si>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</si>
  <si>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</si>
  <si>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</si>
  <si>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</si>
  <si>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</si>
  <si>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</si>
  <si>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</si>
  <si>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</si>
  <si>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</si>
  <si>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</si>
  <si>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</si>
  <si>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</si>
  <si>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</si>
  <si>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</si>
  <si>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</si>
  <si>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</si>
  <si>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</si>
  <si>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</si>
  <si>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</si>
  <si>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</si>
  <si>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</si>
  <si>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</si>
  <si>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</si>
  <si>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</si>
  <si>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</si>
  <si>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</si>
  <si>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</si>
  <si>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</si>
  <si>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</si>
  <si>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</si>
  <si>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</si>
  <si>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</si>
  <si>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</si>
  <si>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</si>
  <si>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</si>
  <si>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</si>
  <si>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</si>
  <si>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</si>
  <si>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</si>
  <si>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</si>
  <si>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</si>
  <si>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</si>
  <si>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</si>
  <si>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</si>
  <si>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</si>
  <si>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</si>
  <si>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</si>
  <si>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</si>
  <si>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</si>
  <si>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</si>
  <si>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</si>
  <si>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</si>
  <si>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</si>
  <si>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</si>
  <si>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</si>
  <si>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</si>
  <si>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</si>
  <si>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</si>
  <si>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</si>
  <si>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</si>
  <si>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</si>
  <si>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</si>
  <si>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</si>
  <si>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</si>
  <si>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</si>
  <si>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</si>
  <si>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</si>
  <si>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</si>
  <si>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</si>
  <si>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</si>
  <si>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</si>
  <si>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</si>
  <si>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</si>
  <si>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</si>
  <si>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</si>
  <si>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</si>
  <si>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</si>
  <si>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</si>
  <si>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</si>
  <si>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</si>
  <si>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</si>
  <si>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</si>
  <si>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</si>
  <si>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</si>
  <si>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</si>
  <si>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</si>
  <si>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</si>
  <si>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</si>
  <si>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</si>
  <si>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</si>
  <si>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</si>
  <si>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</si>
  <si>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</si>
  <si>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</si>
  <si>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</si>
  <si>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</si>
  <si>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</si>
  <si>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</si>
  <si>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</si>
  <si>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</si>
  <si>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</si>
  <si>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</si>
  <si>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</si>
  <si>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</si>
  <si>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</si>
  <si>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</si>
  <si>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</si>
  <si>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</si>
  <si>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</si>
  <si>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</si>
  <si>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</si>
  <si>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</si>
  <si>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</si>
  <si>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</si>
  <si>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</si>
  <si>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</si>
  <si>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</si>
  <si>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</si>
  <si>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</si>
  <si>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</si>
  <si>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</si>
  <si>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</si>
  <si>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</si>
  <si>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</si>
  <si>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</si>
  <si>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</si>
  <si>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</si>
  <si>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</si>
  <si>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</si>
  <si>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</si>
  <si>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</si>
  <si>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</si>
  <si>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</si>
  <si>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</si>
  <si>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</si>
  <si>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</si>
  <si>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</si>
  <si>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</si>
  <si>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</si>
  <si>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</si>
  <si>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</si>
  <si>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</si>
  <si>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</si>
  <si>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</si>
  <si>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</si>
  <si>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</si>
  <si>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</si>
  <si>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</si>
  <si>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</si>
  <si>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</si>
  <si>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</si>
  <si>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</si>
  <si>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</si>
  <si>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</si>
  <si>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</si>
  <si>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</si>
  <si>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</si>
  <si>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</si>
  <si>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</si>
  <si>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</si>
  <si>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</si>
  <si>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</si>
  <si>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</si>
  <si>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</si>
  <si>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</si>
  <si>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</si>
  <si>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</si>
  <si>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</si>
  <si>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</si>
  <si>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</si>
  <si>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</si>
  <si>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</si>
  <si>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</si>
  <si>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</si>
  <si>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</si>
  <si>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</si>
  <si>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</si>
  <si>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</si>
  <si>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</si>
  <si>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</si>
  <si>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</si>
  <si>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</si>
  <si>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</si>
  <si>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</si>
  <si>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</si>
  <si>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</si>
  <si>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</si>
  <si>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</si>
  <si>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</si>
  <si>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</si>
  <si>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</si>
  <si>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</si>
  <si>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</si>
  <si>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</si>
  <si>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</si>
  <si>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</si>
  <si>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</si>
  <si>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</si>
  <si>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</si>
  <si>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</si>
  <si>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</si>
  <si>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</si>
  <si>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</si>
  <si>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</si>
  <si>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</si>
  <si>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</si>
  <si>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</si>
  <si>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</si>
  <si>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</si>
  <si>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</si>
  <si>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</si>
  <si>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</si>
  <si>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</si>
  <si>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</si>
  <si>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</si>
  <si>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</si>
  <si>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</si>
  <si>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</si>
  <si>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</si>
  <si>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</si>
  <si>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</si>
  <si>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</si>
  <si>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</si>
  <si>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</si>
  <si>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</si>
  <si>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</si>
  <si>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</si>
  <si>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</si>
  <si>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</si>
  <si>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</si>
  <si>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</si>
  <si>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</si>
  <si>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</si>
  <si>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</si>
  <si>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</si>
  <si>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</si>
  <si>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</si>
  <si>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</si>
  <si>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</si>
  <si>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</si>
  <si>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</si>
  <si>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</si>
  <si>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</si>
  <si>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</si>
  <si>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</si>
  <si>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</si>
  <si>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</si>
  <si>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</si>
  <si>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</si>
  <si>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</si>
  <si>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</si>
  <si>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</si>
  <si>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</si>
  <si>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</si>
  <si>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</si>
  <si>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</si>
  <si>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</si>
  <si>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</si>
  <si>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</si>
  <si>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</si>
  <si>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</si>
  <si>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</si>
  <si>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</si>
  <si>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</si>
  <si>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</si>
  <si>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</si>
  <si>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</si>
  <si>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</si>
  <si>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</si>
  <si>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</si>
  <si>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</si>
  <si>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</si>
  <si>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</si>
  <si>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</si>
  <si>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</si>
  <si>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</si>
  <si>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</si>
  <si>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</si>
  <si>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</si>
  <si>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</si>
  <si>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</si>
  <si>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</si>
  <si>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</si>
  <si>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</si>
  <si>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</si>
  <si>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</si>
  <si>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</si>
  <si>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</si>
  <si>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</si>
  <si>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</si>
  <si>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</si>
  <si>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</si>
  <si>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</si>
  <si>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</si>
  <si>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</si>
  <si>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</si>
  <si>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</si>
  <si>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</si>
  <si>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</si>
  <si>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</si>
  <si>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</si>
  <si>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</si>
  <si>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</si>
  <si>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</si>
  <si>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</si>
  <si>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</si>
  <si>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</si>
  <si>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</si>
  <si>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</si>
  <si>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</si>
  <si>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</si>
  <si>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</si>
  <si>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</si>
  <si>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</si>
  <si>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</si>
  <si>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</si>
  <si>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</si>
  <si>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</si>
  <si>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</si>
  <si>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</si>
  <si>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</si>
  <si>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</si>
  <si>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</si>
  <si>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</si>
  <si>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</si>
  <si>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</si>
  <si>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</si>
  <si>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</si>
  <si>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</si>
  <si>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</si>
  <si>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</si>
  <si>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</si>
  <si>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</si>
  <si>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</si>
  <si>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</si>
  <si>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</si>
  <si>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</si>
  <si>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</si>
  <si>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</si>
  <si>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</si>
  <si>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</si>
  <si>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</si>
  <si>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</si>
  <si>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</si>
  <si>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</si>
  <si>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</si>
  <si>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</si>
  <si>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</si>
  <si>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</si>
  <si>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</si>
  <si>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</si>
  <si>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</si>
  <si>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</si>
  <si>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</si>
  <si>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</si>
  <si>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</si>
  <si>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</si>
  <si>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</si>
  <si>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</si>
  <si>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</si>
  <si>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</si>
  <si>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</si>
  <si>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</si>
  <si>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</si>
  <si>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</si>
  <si>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</si>
  <si>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</si>
  <si>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</si>
  <si>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</si>
  <si>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</si>
  <si>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</si>
  <si>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</si>
  <si>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</si>
  <si>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</si>
  <si>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</si>
  <si>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</si>
  <si>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</si>
  <si>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</si>
  <si>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</si>
  <si>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</si>
  <si>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</si>
  <si>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</si>
  <si>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</si>
  <si>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</si>
  <si>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</si>
  <si>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</si>
  <si>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</si>
  <si>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</si>
  <si>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</si>
  <si>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</si>
  <si>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</si>
  <si>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</si>
  <si>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</si>
  <si>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</si>
  <si>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</si>
  <si>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</si>
  <si>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</si>
  <si>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</si>
  <si>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</si>
  <si>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</si>
  <si>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</si>
  <si>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</si>
  <si>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</si>
  <si>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</si>
  <si>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</si>
  <si>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</si>
  <si>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</si>
  <si>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</si>
  <si>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</si>
  <si>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</si>
  <si>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</si>
  <si>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</si>
  <si>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</si>
  <si>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</si>
  <si>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</si>
  <si>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</si>
  <si>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</si>
  <si>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</si>
  <si>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</si>
  <si>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</si>
  <si>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</si>
  <si>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</si>
  <si>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</si>
  <si>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</si>
  <si>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</si>
  <si>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</si>
  <si>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</si>
  <si>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</si>
  <si>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</si>
  <si>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</si>
  <si>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</si>
  <si>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</si>
  <si>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</si>
  <si>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</si>
  <si>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</si>
  <si>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</si>
  <si>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</si>
  <si>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</si>
  <si>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</si>
  <si>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</si>
  <si>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</si>
  <si>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</si>
  <si>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</si>
  <si>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</si>
  <si>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</si>
  <si>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</si>
  <si>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</si>
  <si>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</si>
  <si>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</si>
  <si>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</si>
  <si>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</si>
  <si>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</si>
  <si>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</si>
  <si>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</si>
  <si>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</si>
  <si>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</si>
  <si>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</si>
  <si>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</si>
  <si>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</si>
  <si>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</si>
  <si>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</si>
  <si>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</si>
  <si>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</si>
  <si>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</si>
  <si>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</si>
  <si>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</si>
  <si>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</si>
  <si>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</si>
  <si>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</si>
  <si>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</si>
  <si>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</si>
  <si>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</si>
  <si>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</si>
  <si>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</si>
  <si>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</si>
  <si>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</si>
  <si>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</si>
  <si>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</si>
  <si>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</si>
  <si>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</si>
  <si>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</si>
  <si>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</si>
  <si>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</si>
  <si>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</si>
  <si>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</si>
  <si>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</si>
  <si>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</si>
  <si>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</si>
  <si>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</si>
  <si>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</si>
  <si>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</si>
  <si>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</si>
  <si>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</si>
  <si>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</si>
  <si>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</si>
  <si>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</si>
  <si>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</si>
  <si>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</si>
  <si>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</si>
  <si>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</si>
  <si>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</si>
  <si>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</si>
  <si>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</si>
  <si>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</si>
  <si>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</si>
  <si>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</si>
  <si>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</si>
  <si>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</si>
  <si>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</si>
  <si>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</si>
  <si>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</si>
  <si>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</si>
  <si>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</si>
  <si>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</si>
  <si>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</si>
  <si>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</si>
  <si>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</si>
  <si>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</si>
  <si>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</si>
  <si>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</si>
  <si>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</si>
  <si>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</si>
  <si>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</si>
  <si>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</si>
  <si>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</si>
  <si>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</si>
  <si>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</si>
  <si>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</si>
  <si>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</si>
  <si>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</si>
  <si>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</si>
  <si>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</si>
  <si>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</si>
  <si>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</si>
  <si>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</si>
  <si>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</si>
  <si>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</si>
  <si>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</si>
  <si>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</si>
  <si>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</si>
  <si>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</si>
  <si>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</si>
  <si>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</si>
  <si>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</si>
  <si>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</si>
  <si>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</si>
  <si>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</si>
  <si>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</si>
  <si>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</si>
  <si>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</si>
  <si>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</si>
  <si>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</si>
  <si>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</si>
  <si>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</si>
  <si>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</si>
  <si>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</si>
  <si>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</si>
  <si>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</si>
  <si>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</si>
  <si>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</si>
  <si>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</si>
  <si>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</si>
  <si>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</si>
  <si>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</si>
  <si>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</si>
  <si>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</si>
  <si>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</si>
  <si>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</si>
  <si>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</si>
  <si>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</si>
  <si>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</si>
  <si>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</si>
  <si>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</si>
  <si>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</si>
  <si>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</si>
  <si>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</si>
  <si>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</si>
  <si>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</si>
  <si>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</si>
  <si>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</si>
  <si>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</si>
  <si>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</si>
  <si>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</si>
  <si>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</si>
  <si>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</si>
  <si>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</si>
  <si>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</si>
  <si>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</si>
  <si>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</si>
  <si>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</si>
  <si>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</si>
  <si>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</si>
  <si>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</si>
  <si>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</si>
  <si>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</si>
  <si>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</si>
  <si>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</si>
  <si>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</si>
  <si>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</si>
  <si>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</si>
  <si>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</si>
  <si>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</si>
  <si>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</si>
  <si>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</si>
  <si>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</si>
  <si>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</si>
  <si>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</si>
  <si>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</si>
  <si>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</si>
  <si>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</si>
  <si>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</si>
  <si>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</si>
  <si>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</si>
  <si>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</si>
  <si>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</si>
  <si>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</si>
  <si>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</si>
  <si>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</si>
  <si>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</si>
  <si>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</si>
  <si>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</si>
  <si>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</si>
  <si>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</si>
  <si>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</si>
  <si>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</si>
  <si>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</si>
  <si>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</si>
  <si>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</si>
  <si>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</si>
  <si>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</si>
  <si>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</si>
  <si>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</si>
  <si>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</si>
  <si>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</si>
  <si>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</si>
  <si>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</si>
  <si>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</si>
  <si>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</si>
  <si>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</si>
  <si>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</si>
  <si>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</si>
  <si>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</si>
  <si>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</si>
  <si>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</si>
  <si>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</si>
  <si>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</si>
  <si>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</si>
  <si>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</si>
  <si>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</si>
  <si>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</si>
  <si>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</si>
  <si>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</si>
  <si>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</si>
  <si>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</si>
  <si>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</si>
  <si>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</si>
  <si>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</si>
  <si>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</si>
  <si>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</si>
  <si>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</si>
  <si>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</si>
  <si>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</si>
  <si>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</si>
  <si>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</si>
  <si>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</si>
  <si>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</si>
  <si>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</si>
  <si>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</si>
  <si>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</si>
  <si>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</si>
  <si>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</si>
  <si>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</si>
  <si>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</si>
  <si>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</si>
  <si>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</si>
  <si>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</si>
  <si>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</si>
  <si>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</si>
  <si>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</si>
  <si>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</si>
  <si>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</si>
  <si>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</si>
  <si>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</si>
  <si>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</si>
  <si>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</si>
  <si>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</si>
  <si>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</si>
  <si>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</si>
  <si>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</si>
  <si>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</si>
  <si>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</si>
  <si>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</si>
  <si>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</si>
  <si>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</si>
  <si>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</si>
  <si>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</si>
  <si>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</si>
  <si>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</si>
  <si>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</si>
  <si>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</si>
  <si>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</si>
  <si>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</si>
  <si>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</si>
  <si>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</si>
  <si>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</si>
  <si>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</si>
  <si>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</si>
  <si>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</si>
  <si>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</si>
  <si>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</si>
  <si>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</si>
  <si>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</si>
  <si>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</si>
  <si>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</si>
  <si>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</si>
  <si>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</si>
  <si>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</si>
  <si>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</si>
  <si>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</si>
  <si>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</si>
  <si>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</si>
  <si>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</si>
  <si>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</si>
  <si>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</si>
  <si>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</si>
  <si>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</si>
  <si>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</si>
  <si>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</si>
  <si>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</si>
  <si>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</si>
  <si>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</si>
  <si>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</si>
  <si>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</si>
  <si>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</si>
  <si>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</si>
  <si>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</si>
  <si>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</si>
  <si>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</si>
  <si>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</si>
  <si>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</si>
  <si>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</si>
  <si>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</si>
  <si>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</si>
  <si>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</si>
  <si>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</si>
  <si>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</si>
  <si>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</si>
  <si>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</si>
  <si>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</si>
  <si>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</si>
  <si>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</si>
  <si>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</si>
  <si>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</si>
  <si>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</si>
  <si>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</si>
  <si>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</si>
  <si>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</si>
  <si>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</si>
  <si>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</si>
  <si>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</si>
  <si>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Felipe / Valmir</t>
  </si>
  <si>
    <t>Troca de jacaré lado norte de ZEJ</t>
  </si>
  <si>
    <t>Alívio de Tensão - Condicionado à temperatura</t>
  </si>
  <si>
    <t>Inspeção V98 CCP</t>
  </si>
  <si>
    <t>ZKW-ZEV</t>
  </si>
  <si>
    <t>ZKWZEV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</si>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</sst>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S458" activePane="bottomRight" state="frozen"/>
      <selection pane="bottomRight" activeCell="BA466" sqref="BA4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6" t="s">
        <v>834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835</v>
      </c>
      <c r="BI1" s="371"/>
      <c r="BJ1" s="372"/>
      <c r="BK1" s="373"/>
      <c r="BL1" s="50"/>
      <c r="BM1" s="363" t="s">
        <v>836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6" t="s">
        <v>837</v>
      </c>
      <c r="AJ2" s="367"/>
      <c r="AK2" s="367"/>
      <c r="AL2" s="367"/>
      <c r="AM2" s="367"/>
      <c r="AN2" s="367"/>
      <c r="AO2" s="367"/>
      <c r="AP2" s="367"/>
      <c r="AQ2" s="369"/>
      <c r="AR2" s="239"/>
      <c r="AS2" s="381" t="s">
        <v>840</v>
      </c>
      <c r="AT2" s="368"/>
      <c r="AU2" s="368"/>
      <c r="AV2" s="368"/>
      <c r="AW2" s="368"/>
      <c r="AX2" s="367"/>
      <c r="AY2" s="369"/>
      <c r="AZ2" s="4"/>
      <c r="BA2" s="360" t="s">
        <v>841</v>
      </c>
      <c r="BB2" s="362"/>
      <c r="BC2" s="366" t="s">
        <v>838</v>
      </c>
      <c r="BD2" s="367"/>
      <c r="BE2" s="367"/>
      <c r="BF2" s="369"/>
      <c r="BG2" s="3"/>
      <c r="BH2" s="374"/>
      <c r="BI2" s="375"/>
      <c r="BJ2" s="376"/>
      <c r="BK2" s="377"/>
      <c r="BL2" s="50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0" t="s">
        <v>842</v>
      </c>
      <c r="AJ3" s="362"/>
      <c r="AK3" s="360" t="s">
        <v>843</v>
      </c>
      <c r="AL3" s="361"/>
      <c r="AM3" s="361"/>
      <c r="AN3" s="361"/>
      <c r="AO3" s="361"/>
      <c r="AP3" s="361"/>
      <c r="AQ3" s="362"/>
      <c r="AR3" s="240"/>
      <c r="AS3" s="384" t="s">
        <v>849</v>
      </c>
      <c r="AT3" s="385"/>
      <c r="AU3" s="384" t="s">
        <v>850</v>
      </c>
      <c r="AV3" s="385"/>
      <c r="AW3" s="384" t="s">
        <v>851</v>
      </c>
      <c r="AX3" s="386"/>
      <c r="AY3" s="64" t="s">
        <v>852</v>
      </c>
      <c r="AZ3" s="64"/>
      <c r="BA3" s="382"/>
      <c r="BB3" s="383"/>
      <c r="BC3" s="360" t="s">
        <v>845</v>
      </c>
      <c r="BD3" s="361"/>
      <c r="BE3" s="361"/>
      <c r="BF3" s="362"/>
      <c r="BG3" s="63"/>
      <c r="BH3" s="374"/>
      <c r="BI3" s="375"/>
      <c r="BJ3" s="376"/>
      <c r="BK3" s="377"/>
      <c r="BL3" s="50"/>
      <c r="BM3" s="363" t="s">
        <v>853</v>
      </c>
      <c r="BN3" s="364"/>
      <c r="BO3" s="364"/>
      <c r="BP3" s="365"/>
      <c r="BQ3" s="363" t="s">
        <v>465</v>
      </c>
      <c r="BR3" s="364"/>
      <c r="BS3" s="365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171">
        <v>46010</v>
      </c>
      <c r="C455" s="8"/>
      <c r="D455" s="52" t="s">
        <v>561</v>
      </c>
      <c r="E455" s="29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283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283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/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/>
      <c r="BI474" s="17"/>
      <c r="BJ474" s="283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/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/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/>
      <c r="BI475" s="17"/>
      <c r="BJ475" s="283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/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/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/>
      <c r="BI476" s="17"/>
      <c r="BJ476" s="283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/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/>
      <c r="BI477" s="17"/>
      <c r="BJ477" s="283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1607</v>
      </c>
      <c r="W479" s="261" t="s">
        <v>1608</v>
      </c>
      <c r="X479" s="52" t="s">
        <v>667</v>
      </c>
      <c r="Y479" s="158"/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/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/>
      <c r="BI479" s="17"/>
      <c r="BJ479" s="283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/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/>
      <c r="BI481" s="17"/>
      <c r="BJ481" s="283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/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0</v>
      </c>
      <c r="AZ482" s="14"/>
      <c r="BA482" s="72"/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/>
      <c r="BI482" s="17"/>
      <c r="BJ482" s="283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Produção e Intervalo</v>
      </c>
      <c r="BR482" s="19">
        <f>IF(OR(B482="",F482=""),"*",AY482/P482)</f>
        <v>0</v>
      </c>
      <c r="BS482" s="19">
        <f>IF(OR(B482="",F482=""),"*",BA482/Q482)</f>
        <v>0</v>
      </c>
      <c r="BT482" s="225" t="str">
        <f t="shared" si="53"/>
        <v/>
      </c>
    </row>
    <row r="483" spans="1:72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/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0</v>
      </c>
      <c r="AZ483" s="14"/>
      <c r="BA483" s="72"/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/>
      <c r="BI483" s="17"/>
      <c r="BJ483" s="283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Produção e Intervalo</v>
      </c>
      <c r="BR483" s="19">
        <f>IF(OR(B483="",F483=""),"*",AY483/P483)</f>
        <v>0</v>
      </c>
      <c r="BS483" s="19">
        <f>IF(OR(B483="",F483=""),"*",BA483/Q483)</f>
        <v>0</v>
      </c>
      <c r="BT483" s="225" t="str">
        <f t="shared" si="53"/>
        <v/>
      </c>
    </row>
    <row r="484" spans="1:72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1609</v>
      </c>
      <c r="X484" s="52" t="s">
        <v>667</v>
      </c>
      <c r="Y484" s="158"/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/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/>
      <c r="BI484" s="17"/>
      <c r="BJ484" s="283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/>
      </c>
    </row>
    <row r="485" spans="1:72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1610</v>
      </c>
      <c r="X485" s="52" t="s">
        <v>667</v>
      </c>
      <c r="Y485" s="158"/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/>
      <c r="AS485" s="242"/>
      <c r="AT485" s="242"/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/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/>
      <c r="BI485" s="17"/>
      <c r="BJ485" s="283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/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/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/>
      <c r="AS486" s="242"/>
      <c r="AT486" s="242"/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/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/>
      <c r="BI486" s="17"/>
      <c r="BJ486" s="283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/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/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0</v>
      </c>
      <c r="AZ487" s="14"/>
      <c r="BA487" s="72"/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/>
      <c r="BI487" s="17"/>
      <c r="BJ487" s="283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Produção e Intervalo</v>
      </c>
      <c r="BR487" s="19">
        <f>IF(OR(B487="",F487=""),"*",AY487/P487)</f>
        <v>0</v>
      </c>
      <c r="BS487" s="19">
        <f>IF(OR(B487="",F487=""),"*",BA487/Q487)</f>
        <v>0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2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0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290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79" t="str">
        <f>IF(BS_CONTROLE[[#This Row],[Local - Partida]]=0, "-", BS_CONTROLE[[#This Row],[Local - Partida]])</f>
        <v>-</v>
      </c>
      <c r="AL489" s="279" t="str">
        <f>IF(BS_CONTROLE[[#This Row],[Local - Encerramento]]=0, "-", BS_CONTROLE[[#This Row],[Local - Encerramento]])</f>
        <v>-</v>
      </c>
      <c r="AM489" s="279" t="str">
        <f>IF(BS_CONTROLE[[#This Row],[Entre - Estações]]=0, "-", BS_CONTROLE[[#This Row],[Entre - Estações]])</f>
        <v>-</v>
      </c>
      <c r="AN489" s="279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3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>V9846012</v>
      </c>
      <c r="B490" s="168">
        <v>46012</v>
      </c>
      <c r="C490" s="8"/>
      <c r="D490" s="52" t="s">
        <v>1378</v>
      </c>
      <c r="E490" s="292">
        <v>478</v>
      </c>
      <c r="F490" s="172" t="s">
        <v>338</v>
      </c>
      <c r="G490" s="9" t="str">
        <f>IF(D490="","*",VLOOKUP(F490,BS_ATIVIDADE[#All],3,FALSE))</f>
        <v>DETECÇÃO</v>
      </c>
      <c r="H490" s="143" t="s">
        <v>195</v>
      </c>
      <c r="I490" s="143" t="s">
        <v>220</v>
      </c>
      <c r="J490" s="38">
        <v>55</v>
      </c>
      <c r="K490" s="38">
        <v>102</v>
      </c>
      <c r="L490" s="84" t="s">
        <v>317</v>
      </c>
      <c r="M490" s="204" t="s">
        <v>1611</v>
      </c>
      <c r="N490" s="204" t="s">
        <v>1612</v>
      </c>
      <c r="O490" s="143">
        <v>0.33333333333333331</v>
      </c>
      <c r="P490" s="143">
        <v>4.1666666666666664E-2</v>
      </c>
      <c r="Q490" s="84">
        <v>60</v>
      </c>
      <c r="R490" s="10" t="str">
        <f>IFERROR(_xlfn.XLOOKUP(F490, BS_ATIVIDADE[ATIVIDADE],BS_ATIVIDADE[UNIDADE] ), "*")</f>
        <v>KM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90" s="81" t="str">
        <f>IFERROR(_xlfn.XLOOKUP(J490, BASE_MAPA!$D$2:$D$260, BASE_MAPA!$I$2:$I$260), "ERRO")</f>
        <v>ZKE</v>
      </c>
      <c r="V490" s="261" t="s">
        <v>958</v>
      </c>
      <c r="W490" s="173" t="s">
        <v>1610</v>
      </c>
      <c r="X490" s="52" t="s">
        <v>667</v>
      </c>
      <c r="Y490" s="158"/>
      <c r="Z490" s="158"/>
      <c r="AA490" s="144">
        <v>1</v>
      </c>
      <c r="AB490" s="71" t="s">
        <v>659</v>
      </c>
      <c r="AC490" s="71" t="s">
        <v>654</v>
      </c>
      <c r="AD490" s="173">
        <v>0.29166666666666669</v>
      </c>
      <c r="AE490" s="84" t="s">
        <v>317</v>
      </c>
      <c r="AF490" s="84" t="s">
        <v>317</v>
      </c>
      <c r="AG490" s="84" t="s">
        <v>317</v>
      </c>
      <c r="AH490" s="49"/>
      <c r="AI490" s="142" t="str">
        <f>IF(BS_CONTROLE[[#This Row],[Atividade]]=0, "-", BS_CONTROLE[[#This Row],[Atividade]])</f>
        <v>DETECÇÃO - RONDA 7 DIAS</v>
      </c>
      <c r="AJ490" s="9" t="str">
        <f>IF(D490="","*",VLOOKUP(AI490,BS_ATIVIDADE[#Data],3,FALSE))</f>
        <v>DETECÇÃO</v>
      </c>
      <c r="AK490" s="279" t="str">
        <f>IF(BS_CONTROLE[[#This Row],[Local - Partida]]=0, "-", BS_CONTROLE[[#This Row],[Local - Partida]])</f>
        <v>102ZKW2</v>
      </c>
      <c r="AL490" s="279" t="str">
        <f>IF(BS_CONTROLE[[#This Row],[Local - Encerramento]]=0, "-", BS_CONTROLE[[#This Row],[Local - Encerramento]])</f>
        <v>ZEV2</v>
      </c>
      <c r="AM490" s="279" t="str">
        <f>IF(BS_CONTROLE[[#This Row],[Entre - Estações]]=0, "-", BS_CONTROLE[[#This Row],[Entre - Estações]])</f>
        <v>ZKW-ZEV</v>
      </c>
      <c r="AN490" s="279" t="str">
        <f>IF(BS_CONTROLE[[#This Row],[SB]]=0, "-", BS_CONTROLE[[#This Row],[SB]])</f>
        <v>ZKWZEV</v>
      </c>
      <c r="AO490" s="259">
        <f>IF(BS_CONTROLE[[#This Row],[SUB]]=0, "-", BS_CONTROLE[[#This Row],[SUB]])</f>
        <v>55</v>
      </c>
      <c r="AP490" s="260">
        <f>IF(BS_CONTROLE[[#This Row],[KM - Inicio]]=0, "-", BS_CONTROLE[[#This Row],[KM - Inicio]])</f>
        <v>102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KM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90" s="11" t="str">
        <f>IFERROR(_xlfn.XLOOKUP(AO490, BASE_MAPA!$D$2:$D$260, BASE_MAPA!$I$2:$I$260), "ERRO")</f>
        <v>ZKE</v>
      </c>
      <c r="BF490" s="261" t="str">
        <f>IF(BS_CONTROLE[[#This Row],[Responsavel pelo boletim]]=0, "-", BS_CONTROLE[[#This Row],[Responsavel pelo boletim]])</f>
        <v>John / Andressa</v>
      </c>
      <c r="BG490" s="16"/>
      <c r="BH490" s="17"/>
      <c r="BI490" s="17"/>
      <c r="BJ490" s="283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>V8546012</v>
      </c>
      <c r="B491" s="168">
        <v>46012</v>
      </c>
      <c r="C491" s="8"/>
      <c r="D491" s="52" t="s">
        <v>512</v>
      </c>
      <c r="E491" s="292">
        <v>46</v>
      </c>
      <c r="F491" s="172" t="s">
        <v>421</v>
      </c>
      <c r="G491" s="9" t="str">
        <f>IF(D491="","*",VLOOKUP(F491,BS_ATIVIDADE[#All],3,FALSE))</f>
        <v>MECANIZAÇÃO - SOCADORA</v>
      </c>
      <c r="H491" s="173" t="s">
        <v>988</v>
      </c>
      <c r="I491" s="173" t="s">
        <v>956</v>
      </c>
      <c r="J491" s="217">
        <v>53</v>
      </c>
      <c r="K491" s="217">
        <v>114.3</v>
      </c>
      <c r="L491" s="217">
        <v>115</v>
      </c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1" s="173">
        <v>0.35416666666666669</v>
      </c>
      <c r="P491" s="173">
        <v>6.25E-2</v>
      </c>
      <c r="Q491" s="217">
        <v>700</v>
      </c>
      <c r="R491" s="10" t="str">
        <f>IFERROR(_xlfn.XLOOKUP(F491, BS_ATIVIDADE[ATIVIDADE],BS_ATIVIDADE[UNIDADE] ), "*")</f>
        <v>M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1" s="81" t="str">
        <f>IFERROR(_xlfn.XLOOKUP(J491, BASE_MAPA!$D$2:$D$260, BASE_MAPA!$I$2:$I$260), "ERRO")</f>
        <v>PAT-ZGM</v>
      </c>
      <c r="V491" s="198" t="s">
        <v>929</v>
      </c>
      <c r="W491" s="261" t="s">
        <v>1098</v>
      </c>
      <c r="X491" s="218" t="s">
        <v>667</v>
      </c>
      <c r="Y491" s="158"/>
      <c r="Z491" s="158"/>
      <c r="AA491" s="84">
        <v>1</v>
      </c>
      <c r="AB491" s="71" t="s">
        <v>659</v>
      </c>
      <c r="AC491" s="71" t="s">
        <v>654</v>
      </c>
      <c r="AD491" s="173">
        <v>0.33333333333333331</v>
      </c>
      <c r="AE491" s="84">
        <v>6235</v>
      </c>
      <c r="AF491" s="84">
        <v>6215</v>
      </c>
      <c r="AG491" s="84" t="s">
        <v>317</v>
      </c>
      <c r="AH491" s="49"/>
      <c r="AI491" s="142" t="str">
        <f>IF(BS_CONTROLE[[#This Row],[Atividade]]=0, "-", BS_CONTROLE[[#This Row],[Atividade]])</f>
        <v>MECANIZAÇÃO - SOCADORA</v>
      </c>
      <c r="AJ491" s="9" t="str">
        <f>IF(D491="","*",VLOOKUP(AI491,BS_ATIVIDADE[#Data],3,FALSE))</f>
        <v>MECANIZAÇÃO - SOCADORA</v>
      </c>
      <c r="AK491" s="279" t="str">
        <f>IF(BS_CONTROLE[[#This Row],[Local - Partida]]=0, "-", BS_CONTROLE[[#This Row],[Local - Partida]])</f>
        <v>109ZPT2</v>
      </c>
      <c r="AL491" s="279" t="str">
        <f>IF(BS_CONTROLE[[#This Row],[Local - Encerramento]]=0, "-", BS_CONTROLE[[#This Row],[Local - Encerramento]])</f>
        <v>ZPTZDR</v>
      </c>
      <c r="AM491" s="279" t="str">
        <f>IF(BS_CONTROLE[[#This Row],[Entre - Estações]]=0, "-", BS_CONTROLE[[#This Row],[Entre - Estações]])</f>
        <v>ZGM-109</v>
      </c>
      <c r="AN491" s="279" t="str">
        <f>IF(BS_CONTROLE[[#This Row],[SB]]=0, "-", BS_CONTROLE[[#This Row],[SB]])</f>
        <v>ZGM2</v>
      </c>
      <c r="AO491" s="259">
        <f>IF(BS_CONTROLE[[#This Row],[SUB]]=0, "-", BS_CONTROLE[[#This Row],[SUB]])</f>
        <v>53</v>
      </c>
      <c r="AP491" s="260">
        <f>IF(BS_CONTROLE[[#This Row],[KM - Inicio]]=0, "-", BS_CONTROLE[[#This Row],[KM - Inicio]])</f>
        <v>114.3</v>
      </c>
      <c r="AQ491" s="260">
        <f>IF(BS_CONTROLE[[#This Row],[KM - Fim]]=0, "-", BS_CONTROLE[[#This Row],[KM - Fim]])</f>
        <v>115</v>
      </c>
      <c r="AR491" s="242"/>
      <c r="AS491" s="242"/>
      <c r="AT491" s="242"/>
      <c r="AU491" s="242"/>
      <c r="AV491" s="242"/>
      <c r="AW491" s="242"/>
      <c r="AX491" s="39"/>
      <c r="AY491" s="12">
        <f>IF(D491="","*",IFERROR(IF(ISODD(COUNT(AS491:AX491)),"ERRO",SUM((AT491-AS491),(AV491-AU491),(AX491-AW491))),"ERRO"))</f>
        <v>0</v>
      </c>
      <c r="AZ491" s="14"/>
      <c r="BA491" s="72"/>
      <c r="BB491" s="10" t="str">
        <f>IFERROR(_xlfn.XLOOKUP(AI491, BS_ATIVIDADE[ATIVIDADE],BS_ATIVIDADE[UNIDADE] ), "*")</f>
        <v>M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1" s="11" t="str">
        <f>IFERROR(_xlfn.XLOOKUP(AO491, BASE_MAPA!$D$2:$D$260, BASE_MAPA!$I$2:$I$260), "ERRO")</f>
        <v>PAT-ZGM</v>
      </c>
      <c r="BF491" s="261" t="str">
        <f>IF(BS_CONTROLE[[#This Row],[Responsavel pelo boletim]]=0, "-", BS_CONTROLE[[#This Row],[Responsavel pelo boletim]])</f>
        <v>Saulo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Produção e Intervalo</v>
      </c>
      <c r="BR491" s="19">
        <f>IF(OR(B491="",F491=""),"*",AY491/P491)</f>
        <v>0</v>
      </c>
      <c r="BS491" s="19">
        <f>IF(OR(B491="",F491=""),"*",BA491/Q491)</f>
        <v>0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2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290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79" t="str">
        <f>IF(BS_CONTROLE[[#This Row],[Local - Partida]]=0, "-", BS_CONTROLE[[#This Row],[Local - Partida]])</f>
        <v>-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-</v>
      </c>
      <c r="AN492" s="279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173" t="s">
        <v>317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-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173" t="s">
        <v>317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-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1613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173" t="s">
        <v>317</v>
      </c>
      <c r="I497" s="173" t="s">
        <v>317</v>
      </c>
      <c r="J497" s="38">
        <v>56</v>
      </c>
      <c r="K497" s="38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43">
        <v>0.41666666666666669</v>
      </c>
      <c r="P497" s="14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52" t="s">
        <v>667</v>
      </c>
      <c r="Y497" s="158"/>
      <c r="Z497" s="158"/>
      <c r="AA497" s="14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-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173" t="s">
        <v>317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-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1614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43"/>
      <c r="J501" s="38">
        <v>55</v>
      </c>
      <c r="K501" s="38">
        <v>98.16</v>
      </c>
      <c r="L501" s="38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1615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43"/>
      <c r="J502" s="38">
        <v>55</v>
      </c>
      <c r="K502" s="38">
        <v>106.02</v>
      </c>
      <c r="L502" s="38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1616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43"/>
      <c r="J503" s="38">
        <v>55</v>
      </c>
      <c r="K503" s="38">
        <v>107.25</v>
      </c>
      <c r="L503" s="38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1617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43"/>
      <c r="J504" s="38">
        <v>55</v>
      </c>
      <c r="K504" s="38">
        <v>107.5</v>
      </c>
      <c r="L504" s="38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1618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43"/>
      <c r="J505" s="38">
        <v>55</v>
      </c>
      <c r="K505" s="38">
        <v>107.78</v>
      </c>
      <c r="L505" s="38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1619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1620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220</v>
      </c>
      <c r="I512" s="143" t="s">
        <v>956</v>
      </c>
      <c r="J512" s="38">
        <v>55</v>
      </c>
      <c r="K512" s="38">
        <v>159</v>
      </c>
      <c r="L512" s="84" t="s">
        <v>317</v>
      </c>
      <c r="M512" s="204" t="s">
        <v>15</v>
      </c>
      <c r="N512" s="204" t="s">
        <v>957</v>
      </c>
      <c r="O512" s="143">
        <v>0.33333333333333331</v>
      </c>
      <c r="P512" s="143">
        <v>4.1666666666666664E-2</v>
      </c>
      <c r="Q512" s="84">
        <v>40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1621</v>
      </c>
      <c r="W512" s="173" t="s">
        <v>1622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ZEV2</v>
      </c>
      <c r="AL512" s="279" t="str">
        <f>IF(BS_CONTROLE[[#This Row],[Local - Encerramento]]=0, "-", BS_CONTROLE[[#This Row],[Local - Encerramento]])</f>
        <v>ZPTZDR</v>
      </c>
      <c r="AM512" s="279" t="str">
        <f>IF(BS_CONTROLE[[#This Row],[Entre - Estações]]=0, "-", BS_CONTROLE[[#This Row],[Entre - Estações]])</f>
        <v>ZEV-ZPT</v>
      </c>
      <c r="AN512" s="279" t="str">
        <f>IF(BS_CONTROLE[[#This Row],[SB]]=0, "-", BS_CONTROLE[[#This Row],[SB]])</f>
        <v>ZEVZPT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159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1623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1624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1625</v>
      </c>
      <c r="W515" s="173" t="s">
        <v>1626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/>
      <c r="AS518" s="242"/>
      <c r="AT518" s="242"/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/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/>
      </c>
    </row>
    <row r="519" spans="1:72" hidden="1">
      <c r="A519" s="167" t="str">
        <f t="shared" ref="A519:A553" si="54">D519&amp;B519</f>
        <v>DIEGO (TF-42)46013</v>
      </c>
      <c r="B519" s="168">
        <v>46013</v>
      </c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Produção e Intervalo</v>
      </c>
      <c r="BR519" s="19">
        <f>IF(OR(B519="",F519=""),"*",AY519/P519)</f>
        <v>0</v>
      </c>
      <c r="BS519" s="19">
        <f>IF(OR(B519="",F519=""),"*",BA519/Q519)</f>
        <v>0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:Y486 W485 W490 X491:Y491 V496:Y496 V500:Y500 W501:X505 W507:X508 X510 X516:Y518 V519:W519 X513:X515 X493:Y49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1:AD491 Z496 Z500 AA500:AD505 AA507:AD508 AA510 AD510 Z516:AD516 Z517 AA514:AD515 Z518:AD518 Z493 AA452:AD455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491 J500 J516:J51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491:Q491 O500:Q500 O516:Q51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16" operator="equal">
      <formula>"ERRO"</formula>
    </cfRule>
  </conditionalFormatting>
  <conditionalFormatting sqref="X4 Y476:Y480 Y1:Z157 Y159:Z475 Y483:Y484 Y481:Z483 Y487:Y489 Y485:Z487 Y492 Y490:Z491 Y498:Y499 Y500:Z500 Y520:Y551 Y501:Y515 Y516:Z519 Y493:Z497">
    <cfRule type="cellIs" dxfId="140" priority="18505" operator="equal">
      <formula>"OPORTUNIDADE"</formula>
    </cfRule>
  </conditionalFormatting>
  <conditionalFormatting sqref="AZ6:AZ523">
    <cfRule type="expression" dxfId="139" priority="18500">
      <formula>$BU6=1</formula>
    </cfRule>
  </conditionalFormatting>
  <conditionalFormatting sqref="BQ6:BQ600">
    <cfRule type="cellIs" dxfId="138" priority="18511" operator="equal">
      <formula>"Produção e Intervalo"</formula>
    </cfRule>
    <cfRule type="cellIs" dxfId="137" priority="18512" operator="equal">
      <formula>"Aderente"</formula>
    </cfRule>
    <cfRule type="cellIs" dxfId="136" priority="18513" operator="equal">
      <formula>"Intervalo"</formula>
    </cfRule>
    <cfRule type="cellIs" dxfId="135" priority="18514" operator="equal">
      <formula>"Produção"</formula>
    </cfRule>
    <cfRule type="cellIs" dxfId="134" priority="18515" operator="equal">
      <formula>"ERRO"</formula>
    </cfRule>
  </conditionalFormatting>
  <conditionalFormatting sqref="BR6:BS553">
    <cfRule type="cellIs" dxfId="133" priority="18493" operator="equal">
      <formula>"*"</formula>
    </cfRule>
    <cfRule type="cellIs" dxfId="132" priority="18494" operator="greaterThanOrEqual">
      <formula>1</formula>
    </cfRule>
    <cfRule type="cellIs" dxfId="131" priority="18495" operator="lessThan">
      <formula>1</formula>
    </cfRule>
  </conditionalFormatting>
  <conditionalFormatting sqref="X478 Y476:Y480 Y6:Z157 Y159:Z475 X480 X483 Y483:Y484 Y481:Z483 X488:X489 Y487:Y489 Y485:Z487 X492:Y492 Y490:Z491 X499 Y498:Y499 X506 Y500:Z500 X509 X511:X512 Y520:Y551 X517 Y501:Y515 X520:X523 Y516:Z519 Y493:Z497">
    <cfRule type="cellIs" dxfId="130" priority="18441" operator="equal">
      <formula>"NÃO"</formula>
    </cfRule>
    <cfRule type="cellIs" dxfId="129" priority="18442" operator="equal">
      <formula>"SIM"</formula>
    </cfRule>
  </conditionalFormatting>
  <conditionalFormatting sqref="X478 X480 X483 X488:X489 X492 X499 X506 X509 X511:X512 X517 X520:X523">
    <cfRule type="cellIs" dxfId="128" priority="18440" operator="equal">
      <formula>"OPORTUNIDADE"</formula>
    </cfRule>
  </conditionalFormatting>
  <conditionalFormatting sqref="Z476:Z480 Z487:Z489 Z483:Z484 Z492 Z496:Z499 Z517 Z501:Z515 Z519:Z523">
    <cfRule type="cellIs" dxfId="127" priority="18438" operator="equal">
      <formula>"NÃO"</formula>
    </cfRule>
    <cfRule type="cellIs" dxfId="126" priority="18439" operator="equal">
      <formula>"SIM"</formula>
    </cfRule>
  </conditionalFormatting>
  <conditionalFormatting sqref="Z476:Z480 Z487:Z489 Z483:Z484 Z492 Z496:Z499 Z517 Z501:Z515 Z519:Z523">
    <cfRule type="cellIs" dxfId="125" priority="18437" operator="equal">
      <formula>"OPORTUNIDADE"</formula>
    </cfRule>
  </conditionalFormatting>
  <conditionalFormatting sqref="Y1048576">
    <cfRule type="cellIs" dxfId="124" priority="18322" operator="equal">
      <formula>"OPORTUNIDADE"</formula>
    </cfRule>
  </conditionalFormatting>
  <conditionalFormatting sqref="Y1048576">
    <cfRule type="cellIs" dxfId="123" priority="18320" operator="equal">
      <formula>"NÃO"</formula>
    </cfRule>
    <cfRule type="cellIs" dxfId="122" priority="18321" operator="equal">
      <formula>"SIM"</formula>
    </cfRule>
  </conditionalFormatting>
  <conditionalFormatting sqref="Z524:Z549">
    <cfRule type="cellIs" dxfId="121" priority="18057" operator="equal">
      <formula>"OPORTUNIDADE"</formula>
    </cfRule>
  </conditionalFormatting>
  <conditionalFormatting sqref="Z524:Z549">
    <cfRule type="cellIs" dxfId="120" priority="18055" operator="equal">
      <formula>"NÃO"</formula>
    </cfRule>
    <cfRule type="cellIs" dxfId="119" priority="18056" operator="equal">
      <formula>"SIM"</formula>
    </cfRule>
  </conditionalFormatting>
  <conditionalFormatting sqref="X550">
    <cfRule type="cellIs" dxfId="118" priority="18043" operator="equal">
      <formula>"NÃO"</formula>
    </cfRule>
    <cfRule type="cellIs" dxfId="117" priority="18044" operator="equal">
      <formula>"SIM"</formula>
    </cfRule>
  </conditionalFormatting>
  <conditionalFormatting sqref="X550">
    <cfRule type="cellIs" dxfId="116" priority="18042" operator="equal">
      <formula>"OPORTUNIDADE"</formula>
    </cfRule>
  </conditionalFormatting>
  <conditionalFormatting sqref="Z550">
    <cfRule type="cellIs" dxfId="115" priority="18040" operator="equal">
      <formula>"NÃO"</formula>
    </cfRule>
    <cfRule type="cellIs" dxfId="114" priority="18041" operator="equal">
      <formula>"SIM"</formula>
    </cfRule>
  </conditionalFormatting>
  <conditionalFormatting sqref="Z550">
    <cfRule type="cellIs" dxfId="113" priority="18039" operator="equal">
      <formula>"OPORTUNIDADE"</formula>
    </cfRule>
  </conditionalFormatting>
  <conditionalFormatting sqref="BI550">
    <cfRule type="iconSet" priority="1804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49">
      <iconSet showValue="0">
        <cfvo type="percent" val="0"/>
        <cfvo type="num" val="1"/>
        <cfvo type="num" val="1" gte="0"/>
      </iconSet>
    </cfRule>
    <cfRule type="iconSet" priority="1805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5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59">
      <formula>$BU493=1</formula>
    </cfRule>
  </conditionalFormatting>
  <conditionalFormatting sqref="AZ526:AZ550">
    <cfRule type="expression" dxfId="111" priority="18819">
      <formula>$BU498=1</formula>
    </cfRule>
  </conditionalFormatting>
  <conditionalFormatting sqref="BI524:BI549">
    <cfRule type="iconSet" priority="1882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22">
      <iconSet showValue="0">
        <cfvo type="percent" val="0"/>
        <cfvo type="num" val="1"/>
        <cfvo type="num" val="1" gte="0"/>
      </iconSet>
    </cfRule>
    <cfRule type="iconSet" priority="1882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2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54" operator="equal">
      <formula>"*"</formula>
    </cfRule>
    <cfRule type="cellIs" dxfId="109" priority="13455" operator="greaterThanOrEqual">
      <formula>1</formula>
    </cfRule>
    <cfRule type="cellIs" dxfId="108" priority="13456" operator="lessThan">
      <formula>1</formula>
    </cfRule>
  </conditionalFormatting>
  <conditionalFormatting sqref="BJ2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2" operator="equal">
      <formula>"OPORTUNIDADE"</formula>
    </cfRule>
  </conditionalFormatting>
  <conditionalFormatting sqref="Y158">
    <cfRule type="cellIs" dxfId="106" priority="90" operator="equal">
      <formula>"NÃO"</formula>
    </cfRule>
    <cfRule type="cellIs" dxfId="105" priority="91" operator="equal">
      <formula>"SIM"</formula>
    </cfRule>
  </conditionalFormatting>
  <conditionalFormatting sqref="BO6:BO208 BO210:BO600">
    <cfRule type="iconSet" priority="1888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9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92">
      <iconSet showValue="0">
        <cfvo type="percent" val="0"/>
        <cfvo type="num" val="1"/>
        <cfvo type="num" val="1" gte="0"/>
      </iconSet>
    </cfRule>
    <cfRule type="iconSet" priority="18893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9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600 BK335:BK448 BK456:BK457">
    <cfRule type="iconSet" priority="1890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600 BP461:BP462 BP453:BP455 BP464 BP466:BP470">
    <cfRule type="iconSet" priority="189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7" t="s">
        <v>1627</v>
      </c>
      <c r="C2" s="387"/>
      <c r="D2" s="387"/>
      <c r="E2" s="387"/>
      <c r="F2" s="387"/>
      <c r="G2" s="387"/>
    </row>
    <row r="3" spans="2:8" ht="20.25" customHeight="1">
      <c r="B3" s="388"/>
      <c r="C3" s="388"/>
      <c r="D3" s="388"/>
      <c r="E3" s="388"/>
      <c r="F3" s="388"/>
      <c r="G3" s="388"/>
    </row>
    <row r="4" spans="2:8">
      <c r="B4" s="329" t="s">
        <v>1628</v>
      </c>
      <c r="C4" s="329" t="s">
        <v>1629</v>
      </c>
      <c r="D4" s="329" t="s">
        <v>1630</v>
      </c>
      <c r="E4" s="329" t="s">
        <v>1631</v>
      </c>
      <c r="F4" s="329" t="s">
        <v>8</v>
      </c>
      <c r="G4" s="329" t="s">
        <v>1632</v>
      </c>
    </row>
    <row r="5" spans="2:8">
      <c r="B5" s="332" t="s">
        <v>1153</v>
      </c>
      <c r="C5" s="332">
        <v>314978</v>
      </c>
      <c r="D5" s="332" t="s">
        <v>1633</v>
      </c>
      <c r="E5" s="332" t="s">
        <v>541</v>
      </c>
      <c r="F5" s="332" t="s">
        <v>101</v>
      </c>
      <c r="G5" s="333">
        <v>46143</v>
      </c>
    </row>
    <row r="6" spans="2:8">
      <c r="B6" s="332" t="s">
        <v>1634</v>
      </c>
      <c r="C6" s="332">
        <v>256790</v>
      </c>
      <c r="D6" s="332" t="s">
        <v>1635</v>
      </c>
      <c r="E6" s="332" t="s">
        <v>541</v>
      </c>
      <c r="F6" s="332" t="s">
        <v>1636</v>
      </c>
      <c r="G6" s="333">
        <v>45992</v>
      </c>
    </row>
    <row r="7" spans="2:8">
      <c r="B7" s="332" t="s">
        <v>1637</v>
      </c>
      <c r="C7" s="332">
        <v>265193</v>
      </c>
      <c r="D7" s="332" t="s">
        <v>1638</v>
      </c>
      <c r="E7" s="332" t="s">
        <v>542</v>
      </c>
      <c r="F7" s="332" t="s">
        <v>1500</v>
      </c>
      <c r="G7" s="332" t="s">
        <v>1639</v>
      </c>
    </row>
    <row r="8" spans="2:8">
      <c r="B8" s="332" t="s">
        <v>1640</v>
      </c>
      <c r="C8" s="332">
        <v>293716</v>
      </c>
      <c r="D8" s="332" t="s">
        <v>1641</v>
      </c>
      <c r="E8" s="332" t="s">
        <v>542</v>
      </c>
      <c r="F8" s="332" t="s">
        <v>1500</v>
      </c>
      <c r="G8" s="333">
        <v>46204</v>
      </c>
    </row>
    <row r="9" spans="2:8">
      <c r="B9" s="332" t="s">
        <v>1642</v>
      </c>
      <c r="C9" s="332">
        <v>257258</v>
      </c>
      <c r="D9" s="332" t="s">
        <v>1643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1644</v>
      </c>
      <c r="C10" s="332">
        <v>371147</v>
      </c>
      <c r="D10" s="332" t="s">
        <v>1645</v>
      </c>
      <c r="E10" s="332" t="s">
        <v>543</v>
      </c>
      <c r="F10" s="332" t="s">
        <v>144</v>
      </c>
      <c r="G10" s="332" t="s">
        <v>1639</v>
      </c>
    </row>
    <row r="11" spans="2:8">
      <c r="B11" s="332" t="s">
        <v>1646</v>
      </c>
      <c r="C11" s="332">
        <v>259230</v>
      </c>
      <c r="D11" s="332" t="s">
        <v>1647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1648</v>
      </c>
      <c r="C12" s="332">
        <v>370705</v>
      </c>
      <c r="D12" s="332"/>
      <c r="E12" s="332" t="s">
        <v>543</v>
      </c>
      <c r="F12" s="332" t="s">
        <v>144</v>
      </c>
      <c r="G12" s="332" t="s">
        <v>1639</v>
      </c>
    </row>
    <row r="13" spans="2:8">
      <c r="B13" s="332" t="s">
        <v>1649</v>
      </c>
      <c r="C13" s="332">
        <v>258542</v>
      </c>
      <c r="D13" s="332" t="s">
        <v>1650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1651</v>
      </c>
      <c r="C14" s="332">
        <v>257050</v>
      </c>
      <c r="D14" s="332" t="s">
        <v>1652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9" t="s">
        <v>1653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24" t="s">
        <v>409</v>
      </c>
      <c r="D3" s="324" t="s">
        <v>1654</v>
      </c>
      <c r="E3" s="324" t="s">
        <v>1655</v>
      </c>
      <c r="F3" s="324" t="s">
        <v>1656</v>
      </c>
      <c r="G3" s="329" t="s">
        <v>1657</v>
      </c>
      <c r="H3" s="324" t="s">
        <v>1658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1659</v>
      </c>
      <c r="H4" s="327"/>
    </row>
    <row r="5" spans="3:8" ht="29.25">
      <c r="C5" s="325" t="s">
        <v>541</v>
      </c>
      <c r="D5" s="325" t="s">
        <v>1660</v>
      </c>
      <c r="E5" s="326">
        <v>46000</v>
      </c>
      <c r="F5" s="325">
        <v>9000</v>
      </c>
      <c r="G5" s="330" t="s">
        <v>1661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1662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1663</v>
      </c>
      <c r="G7" s="331" t="s">
        <v>1664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1665</v>
      </c>
      <c r="G8" s="330" t="s">
        <v>1666</v>
      </c>
      <c r="H8" s="325" t="s">
        <v>1667</v>
      </c>
    </row>
    <row r="9" spans="3:8">
      <c r="C9" s="325" t="s">
        <v>463</v>
      </c>
      <c r="D9" s="325" t="s">
        <v>1668</v>
      </c>
      <c r="E9" s="326">
        <v>45993</v>
      </c>
      <c r="F9" s="325">
        <v>12000</v>
      </c>
      <c r="G9" s="330" t="s">
        <v>1669</v>
      </c>
      <c r="H9" s="325"/>
    </row>
    <row r="10" spans="3:8" ht="29.25">
      <c r="C10" s="325" t="s">
        <v>463</v>
      </c>
      <c r="D10" s="325" t="s">
        <v>1670</v>
      </c>
      <c r="E10" s="326">
        <v>45993</v>
      </c>
      <c r="F10" s="325">
        <v>9000</v>
      </c>
      <c r="G10" s="330" t="s">
        <v>1671</v>
      </c>
      <c r="H10" s="325"/>
    </row>
    <row r="11" spans="3:8" ht="29.25">
      <c r="C11" s="325" t="s">
        <v>463</v>
      </c>
      <c r="D11" s="325" t="s">
        <v>1672</v>
      </c>
      <c r="E11" s="326">
        <v>45993</v>
      </c>
      <c r="F11" s="325">
        <v>10000</v>
      </c>
      <c r="G11" s="330" t="s">
        <v>1671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1673</v>
      </c>
      <c r="H12" s="325" t="s">
        <v>1674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B472" sqref="B472:U48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0"/>
      <c r="B1" s="391"/>
      <c r="C1" s="392"/>
      <c r="L1" s="335"/>
      <c r="M1" s="124"/>
      <c r="N1" s="268"/>
      <c r="O1" s="268"/>
      <c r="P1" s="170"/>
      <c r="Q1" s="393" t="s">
        <v>922</v>
      </c>
      <c r="R1" s="394"/>
      <c r="U1" s="102"/>
      <c r="V1" s="395" t="s">
        <v>1675</v>
      </c>
      <c r="W1" s="395"/>
      <c r="X1" s="395"/>
      <c r="Y1" s="104"/>
    </row>
    <row r="2" spans="1:25" s="101" customFormat="1" ht="11.25" customHeight="1">
      <c r="A2" s="105" t="s">
        <v>1676</v>
      </c>
      <c r="B2" s="105" t="s">
        <v>1677</v>
      </c>
      <c r="C2" s="105" t="s">
        <v>313</v>
      </c>
      <c r="D2" s="106" t="s">
        <v>874</v>
      </c>
      <c r="E2" s="106" t="s">
        <v>875</v>
      </c>
      <c r="F2" s="106" t="s">
        <v>1678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1679</v>
      </c>
      <c r="U2" s="108" t="s">
        <v>877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0</v>
      </c>
      <c r="W452" s="112">
        <f ca="1">_xlfn.XLOOKUP(G452&amp;$W$2,BS_CONTROLE[CHAVE],BS_CONTROLE[Quantidade_11],"-")</f>
        <v>0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0</v>
      </c>
      <c r="W453" s="112">
        <f ca="1">_xlfn.XLOOKUP(G453&amp;$W$2,BS_CONTROLE[CHAVE],BS_CONTROLE[Quantidade_11],"-")</f>
        <v>0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40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15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40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>
        <f ca="1">_xlfn.XLOOKUP(G483&amp;$W$2,BS_CONTROLE[CHAVE],BS_CONTROLE[Quantidade_11],"-")</f>
        <v>30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1700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0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7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ZKE-ZEV</v>
      </c>
      <c r="F488" s="110">
        <f>IF(SP_SUL!B490="","*",SP_SUL!B490)</f>
        <v>46012</v>
      </c>
      <c r="G488" s="110" t="str">
        <f>IF(SP_SUL!D490="","*",SP_SUL!D490)</f>
        <v>V98</v>
      </c>
      <c r="H488" s="110" t="str">
        <f>IF(SP_SUL!F490="","*",SP_SUL!F490)</f>
        <v>DETECÇÃO - RONDA 7 DIAS</v>
      </c>
      <c r="I488" s="110" t="str">
        <f>IF(SP_SUL!H490="","*",SP_SUL!H490)</f>
        <v>102ZKW2</v>
      </c>
      <c r="J488" s="110" t="str">
        <f>IF(SP_SUL!I490="","*",SP_SUL!I490)</f>
        <v>ZEV2</v>
      </c>
      <c r="K488" s="110" t="str">
        <f>IF(SP_SUL!M490="","*",SP_SUL!M490)</f>
        <v>ZKW-ZEV</v>
      </c>
      <c r="L488" s="337" t="str">
        <f>IF(SP_SUL!N490="","*",SP_SUL!N490)</f>
        <v>ZKWZEV</v>
      </c>
      <c r="M488" s="111">
        <f>IF(SP_SUL!J490="","*",SP_SUL!J490)</f>
        <v>55</v>
      </c>
      <c r="N488" s="270">
        <f>IF(SP_SUL!K490="","*",SP_SUL!K490)</f>
        <v>102</v>
      </c>
      <c r="O488" s="270" t="str">
        <f>IF(SP_SUL!L490="","*",SP_SUL!L490)</f>
        <v>-</v>
      </c>
      <c r="P488" s="111"/>
      <c r="Q488" s="128">
        <f>IF(SP_SUL!O490="","*",SP_SUL!O490)</f>
        <v>0.33333333333333331</v>
      </c>
      <c r="R488" s="128">
        <f>IF(SP_SUL!P490="","*",SP_SUL!P490)</f>
        <v>4.1666666666666664E-2</v>
      </c>
      <c r="S488" s="110" t="str">
        <f>IF(SP_SUL!Q490="","*",CONCATENATE(SP_SUL!Q490," ",SP_SUL!R490))</f>
        <v>60 KM</v>
      </c>
      <c r="T488" s="110" t="str">
        <f>IF(SP_SUL!V490="","*",SP_SUL!V490)</f>
        <v>John / Andressa</v>
      </c>
      <c r="U488" s="110" t="str">
        <f>IF(SP_SUL!W490="","*",SP_SUL!W490)</f>
        <v>Inspeção V98 CCP</v>
      </c>
      <c r="V488" s="112" t="str">
        <f ca="1">_xlfn.XLOOKUP(G488&amp;$V$2,BS_CONTROLE[CHAVE],BS_CONTROLE[Quantidade_11],"-")</f>
        <v>-</v>
      </c>
      <c r="W488" s="112">
        <f ca="1">_xlfn.XLOOKUP(G488&amp;$W$2,BS_CONTROLE[CHAVE],BS_CONTROLE[Quantidade_11],"-")</f>
        <v>30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Oportunidade</v>
      </c>
      <c r="C489" s="109" t="str">
        <f>IF(SP_SUL!Z491="","*",SP_SUL!Z491)</f>
        <v>*</v>
      </c>
      <c r="D489" s="110" t="str">
        <f>IF(SP_SUL!S491="","*",SP_SUL!S491)</f>
        <v>SP SUL</v>
      </c>
      <c r="E489" s="110" t="str">
        <f>IF(SP_SUL!T491="","*",SP_SUL!T491)</f>
        <v>ZPT-ZPG</v>
      </c>
      <c r="F489" s="110">
        <f>IF(SP_SUL!B491="","*",SP_SUL!B491)</f>
        <v>46012</v>
      </c>
      <c r="G489" s="110" t="str">
        <f>IF(SP_SUL!D491="","*",SP_SUL!D491)</f>
        <v>V85</v>
      </c>
      <c r="H489" s="110" t="str">
        <f>IF(SP_SUL!F491="","*",SP_SUL!F491)</f>
        <v>MECANIZAÇÃO - SOCADORA</v>
      </c>
      <c r="I489" s="110" t="str">
        <f>IF(SP_SUL!H491="","*",SP_SUL!H491)</f>
        <v>109ZPT2</v>
      </c>
      <c r="J489" s="110" t="str">
        <f>IF(SP_SUL!I491="","*",SP_SUL!I491)</f>
        <v>ZPTZDR</v>
      </c>
      <c r="K489" s="110" t="str">
        <f>IF(SP_SUL!M491="","*",SP_SUL!M491)</f>
        <v>ZGM-109</v>
      </c>
      <c r="L489" s="337" t="str">
        <f>IF(SP_SUL!N491="","*",SP_SUL!N491)</f>
        <v>ZGM2</v>
      </c>
      <c r="M489" s="111">
        <f>IF(SP_SUL!J491="","*",SP_SUL!J491)</f>
        <v>53</v>
      </c>
      <c r="N489" s="270">
        <f>IF(SP_SUL!K491="","*",SP_SUL!K491)</f>
        <v>114.3</v>
      </c>
      <c r="O489" s="270">
        <f>IF(SP_SUL!L491="","*",SP_SUL!L491)</f>
        <v>115</v>
      </c>
      <c r="P489" s="111"/>
      <c r="Q489" s="128">
        <f>IF(SP_SUL!O491="","*",SP_SUL!O491)</f>
        <v>0.35416666666666669</v>
      </c>
      <c r="R489" s="128">
        <f>IF(SP_SUL!P491="","*",SP_SUL!P491)</f>
        <v>6.25E-2</v>
      </c>
      <c r="S489" s="110" t="str">
        <f>IF(SP_SUL!Q491="","*",CONCATENATE(SP_SUL!Q491," ",SP_SUL!R491))</f>
        <v>700 M</v>
      </c>
      <c r="T489" s="110" t="str">
        <f>IF(SP_SUL!V491="","*",SP_SUL!V491)</f>
        <v>Saulo</v>
      </c>
      <c r="U489" s="110" t="str">
        <f>IF(SP_SUL!W491="","*",SP_SUL!W491)</f>
        <v>Serviços de socaria mecanizada</v>
      </c>
      <c r="V489" s="112">
        <f ca="1">_xlfn.XLOOKUP(G489&amp;$V$2,BS_CONTROLE[CHAVE],BS_CONTROLE[Quantidade_11],"-")</f>
        <v>0</v>
      </c>
      <c r="W489" s="112">
        <f ca="1">_xlfn.XLOOKUP(G489&amp;$W$2,BS_CONTROLE[CHAVE],BS_CONTROLE[Quantidade_11],"-")</f>
        <v>1700</v>
      </c>
      <c r="X489" s="112">
        <f ca="1">_xlfn.XLOOKUP(G489&amp;$X$2,BS_CONTROLE[CHAVE],BS_CONTROLE[Quantidade_11],"-")</f>
        <v>0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7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1430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-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40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15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-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40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2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400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-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-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>
        <f ca="1">_xlfn.XLOOKUP(G496&amp;$W$2,BS_CONTROLE[CHAVE],BS_CONTROLE[Quantidade_11],"-")</f>
        <v>0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*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*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*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*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*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>
        <f ca="1">_xlfn.XLOOKUP(G503&amp;$W$2,BS_CONTROLE[CHAVE],BS_CONTROLE[Quantidade_11],"-")</f>
        <v>0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1680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27" sqref="A42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6" t="s">
        <v>1681</v>
      </c>
      <c r="D5" s="397"/>
      <c r="E5" s="397"/>
      <c r="F5" s="397"/>
      <c r="G5" s="397"/>
      <c r="H5" s="397"/>
      <c r="I5" s="397"/>
      <c r="J5" s="398"/>
      <c r="K5" s="399" t="s">
        <v>1682</v>
      </c>
      <c r="L5" s="400"/>
      <c r="M5" s="400"/>
      <c r="N5" s="400"/>
      <c r="O5" s="401" t="s">
        <v>1683</v>
      </c>
      <c r="P5" s="402"/>
      <c r="Q5" s="403"/>
    </row>
    <row r="6" spans="1:17" s="94" customFormat="1" ht="15.75" customHeight="1">
      <c r="A6" s="88" t="s">
        <v>1678</v>
      </c>
      <c r="B6" s="95" t="s">
        <v>1677</v>
      </c>
      <c r="C6" s="96" t="s">
        <v>874</v>
      </c>
      <c r="D6" s="97" t="s">
        <v>875</v>
      </c>
      <c r="E6" s="96" t="s">
        <v>1684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1685</v>
      </c>
      <c r="M6" s="139" t="s">
        <v>335</v>
      </c>
      <c r="N6" s="140" t="s">
        <v>869</v>
      </c>
      <c r="O6" s="246" t="s">
        <v>912</v>
      </c>
      <c r="P6" s="157"/>
      <c r="Q6" s="193" t="s">
        <v>1686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ZKE-ZEV</v>
      </c>
      <c r="E469" s="100" t="str">
        <f>IF(SP_SUL!D490="","*",SP_SUL!D490)</f>
        <v>V98</v>
      </c>
      <c r="F469" s="100" t="str">
        <f>IF(SP_SUL!H490="","*",SP_SUL!H490)</f>
        <v>102ZKW2</v>
      </c>
      <c r="G469" s="100" t="str">
        <f>IF(SP_SUL!M490="","*",SP_SUL!M490)</f>
        <v>ZKW-ZEV</v>
      </c>
      <c r="H469" s="154">
        <f>IF(SP_SUL!K490="","*",SP_SUL!K490)</f>
        <v>102</v>
      </c>
      <c r="I469" s="132">
        <f>IF(SP_SUL!O490="","*",SP_SUL!O490)</f>
        <v>0.33333333333333331</v>
      </c>
      <c r="J469" s="132">
        <f>IF(SP_SUL!P490="","*",SP_SUL!P490)</f>
        <v>4.1666666666666664E-2</v>
      </c>
      <c r="K469" s="141" t="str">
        <f>IF(SP_SUL!AK490="","*",SP_SUL!AK490)</f>
        <v>102ZKW2</v>
      </c>
      <c r="L469" s="141" t="str">
        <f>IF(SP_SUL!AM490="","*",SP_SUL!AM490)</f>
        <v>ZKW-ZEV</v>
      </c>
      <c r="M469" s="141">
        <f>IF(SP_SUL!AP490="","*",SP_SUL!AP490)</f>
        <v>102</v>
      </c>
      <c r="N469" s="141" t="str">
        <f>IF(SP_SUL!AM490="","*",SP_SUL!AM490)</f>
        <v>ZKW-ZEV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>
        <f>IF(SP_SUL!B491="","*",SP_SUL!B491)</f>
        <v>46012</v>
      </c>
      <c r="B470" s="99" t="str">
        <f>IF(SP_SUL!X491="","*",SP_SUL!X491)</f>
        <v>Oportunidade</v>
      </c>
      <c r="C470" s="100" t="str">
        <f>IF(SP_SUL!S491="","*",SP_SUL!S491)</f>
        <v>SP SUL</v>
      </c>
      <c r="D470" s="100" t="str">
        <f>IF(SP_SUL!T491="","*",SP_SUL!T491)</f>
        <v>ZPT-ZPG</v>
      </c>
      <c r="E470" s="100" t="str">
        <f>IF(SP_SUL!D491="","*",SP_SUL!D491)</f>
        <v>V85</v>
      </c>
      <c r="F470" s="100" t="str">
        <f>IF(SP_SUL!H491="","*",SP_SUL!H491)</f>
        <v>109ZPT2</v>
      </c>
      <c r="G470" s="100" t="str">
        <f>IF(SP_SUL!M491="","*",SP_SUL!M491)</f>
        <v>ZGM-109</v>
      </c>
      <c r="H470" s="154">
        <f>IF(SP_SUL!K491="","*",SP_SUL!K491)</f>
        <v>114.3</v>
      </c>
      <c r="I470" s="132">
        <f>IF(SP_SUL!O491="","*",SP_SUL!O491)</f>
        <v>0.35416666666666669</v>
      </c>
      <c r="J470" s="132">
        <f>IF(SP_SUL!P491="","*",SP_SUL!P491)</f>
        <v>6.25E-2</v>
      </c>
      <c r="K470" s="141" t="str">
        <f>IF(SP_SUL!AK491="","*",SP_SUL!AK491)</f>
        <v>109ZPT2</v>
      </c>
      <c r="L470" s="141" t="str">
        <f>IF(SP_SUL!AM491="","*",SP_SUL!AM491)</f>
        <v>ZGM-109</v>
      </c>
      <c r="M470" s="141">
        <f>IF(SP_SUL!AP491="","*",SP_SUL!AP491)</f>
        <v>114.3</v>
      </c>
      <c r="N470" s="141" t="str">
        <f>IF(SP_SUL!AM491="","*",SP_SUL!AM491)</f>
        <v>ZGM-109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-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-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-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-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-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-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-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-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ZEV2</v>
      </c>
      <c r="G491" s="100" t="str">
        <f>IF(SP_SUL!M512="","*",SP_SUL!M512)</f>
        <v>ZEV-ZPT</v>
      </c>
      <c r="H491" s="154">
        <f>IF(SP_SUL!K512="","*",SP_SUL!K512)</f>
        <v>159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ZEV2</v>
      </c>
      <c r="L491" s="141" t="str">
        <f>IF(SP_SUL!AM512="","*",SP_SUL!AM512)</f>
        <v>ZEV-ZPT</v>
      </c>
      <c r="M491" s="141">
        <f>IF(SP_SUL!AP512="","*",SP_SUL!AP512)</f>
        <v>159</v>
      </c>
      <c r="N491" s="141" t="str">
        <f>IF(SP_SUL!AM512="","*",SP_SUL!AM512)</f>
        <v>ZEV-ZPT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>
        <f>IF(SP_SUL!B519="","*",SP_SUL!B519)</f>
        <v>46013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1686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1687</v>
      </c>
      <c r="C2" s="96" t="s">
        <v>859</v>
      </c>
      <c r="D2" s="96" t="s">
        <v>861</v>
      </c>
      <c r="E2" s="96" t="s">
        <v>1688</v>
      </c>
      <c r="F2" s="96" t="s">
        <v>1689</v>
      </c>
      <c r="G2" s="96" t="s">
        <v>1690</v>
      </c>
      <c r="H2" s="96" t="s">
        <v>1691</v>
      </c>
      <c r="I2" s="96" t="s">
        <v>1692</v>
      </c>
      <c r="J2" s="96" t="s">
        <v>1693</v>
      </c>
      <c r="K2" s="131" t="s">
        <v>1694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*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*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*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*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*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*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*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*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*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V98</v>
      </c>
      <c r="E466" s="121" t="str">
        <f>IF(SP_SUL!H490="","*",SP_SUL!H490)</f>
        <v>102ZKW2</v>
      </c>
      <c r="F466" s="137" t="str">
        <f>IF(SP_SUL!M490="","*",SP_SUL!M490)</f>
        <v>ZKW-ZEV</v>
      </c>
      <c r="G466" s="121" t="str">
        <f>IF(SP_SUL!I490="","*",SP_SUL!I490)</f>
        <v>ZEV2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0.29166666666666669</v>
      </c>
    </row>
    <row r="467" spans="2:11" s="123" customFormat="1" hidden="1">
      <c r="B467" s="120" t="str">
        <f>IF(SP_SUL!Y491="","*",SP_SUL!Y491)</f>
        <v>*</v>
      </c>
      <c r="C467" s="121">
        <f>IF(SP_SUL!B491="","*",SP_SUL!B491)</f>
        <v>46012</v>
      </c>
      <c r="D467" s="121" t="str">
        <f>IF(SP_SUL!D491="","*",SP_SUL!D491)</f>
        <v>V85</v>
      </c>
      <c r="E467" s="121" t="str">
        <f>IF(SP_SUL!H491="","*",SP_SUL!H491)</f>
        <v>109ZPT2</v>
      </c>
      <c r="F467" s="137" t="str">
        <f>IF(SP_SUL!M491="","*",SP_SUL!M491)</f>
        <v>ZGM-109</v>
      </c>
      <c r="G467" s="121" t="str">
        <f>IF(SP_SUL!I491="","*",SP_SUL!I491)</f>
        <v>ZPTZDR</v>
      </c>
      <c r="H467" s="121" t="str">
        <f>IF(SP_SUL!AB491="","*",SP_SUL!AB491)</f>
        <v>FIXO</v>
      </c>
      <c r="I467" s="121" t="str">
        <f>IF(SP_SUL!AC491="","*",SP_SUL!AC491)</f>
        <v>ACIONAMENTO</v>
      </c>
      <c r="J467" s="122">
        <f>IF(SP_SUL!AA491="","*",SP_SUL!AA491)</f>
        <v>1</v>
      </c>
      <c r="K467" s="134">
        <f>IF(SP_SUL!AD491="","*",SP_SUL!AD491)</f>
        <v>0.33333333333333331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-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-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-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-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*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*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*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*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*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ZEV2</v>
      </c>
      <c r="F488" s="137" t="str">
        <f>IF(SP_SUL!M512="","*",SP_SUL!M512)</f>
        <v>ZEV-ZPT</v>
      </c>
      <c r="G488" s="121" t="str">
        <f>IF(SP_SUL!I512="","*",SP_SUL!I512)</f>
        <v>ZPTZDR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>
        <f>IF(SP_SUL!B519="","*",SP_SUL!B519)</f>
        <v>46013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2025-12-19T18:57:27Z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