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053" documentId="120_S{118792C3-22EF-5104-A093-F22BFE3913F3}" xr6:coauthVersionLast="47" xr6:coauthVersionMax="47" xr10:uidLastSave="{8C606545-5E17-461D-A7FF-A649AC0E811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5" i="1" l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7" i="1" a="1"/>
  <c r="N267" i="1" s="1"/>
  <c r="M267" i="1" a="1"/>
  <c r="M267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<sst xmlns="http://schemas.openxmlformats.org/spreadsheetml/2006/main" count="6384" uniqueCount="1457">
  <si>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</si>
  <si>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</si>
  <si>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</si>
  <si>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</si>
  <si>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</si>
  <si>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</si>
  <si>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</si>
  <si>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</si>
  <si>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</si>
  <si>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</si>
  <si>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</si>
  <si>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</si>
  <si>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</si>
  <si>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</si>
  <si>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</si>
  <si>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</si>
  <si>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</si>
  <si>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</si>
  <si>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</si>
  <si>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</si>
  <si>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</si>
  <si>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</si>
  <si>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</si>
  <si>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</si>
  <si>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</si>
  <si>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</si>
  <si>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</si>
  <si>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</si>
  <si>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</si>
  <si>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</si>
  <si>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</si>
  <si>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</si>
  <si>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</si>
  <si>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</si>
  <si>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</si>
  <si>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</si>
  <si>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</si>
  <si>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</si>
  <si>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</si>
  <si>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</si>
  <si>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</si>
  <si>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</si>
  <si>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</si>
  <si>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</si>
  <si>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</si>
  <si>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</si>
  <si>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</si>
  <si>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</si>
  <si>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</si>
  <si>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</si>
  <si>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</si>
  <si>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</si>
  <si>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</si>
  <si>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</si>
  <si>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</si>
  <si>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</si>
  <si>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</si>
  <si>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</si>
  <si>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</si>
  <si>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</si>
  <si>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</si>
  <si>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</si>
  <si>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</si>
  <si>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</si>
  <si>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</si>
  <si>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</si>
  <si>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</si>
  <si>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</si>
  <si>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</si>
  <si>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</si>
  <si>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</si>
  <si>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</si>
  <si>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</si>
  <si>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</si>
  <si>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</si>
  <si>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</si>
  <si>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</si>
  <si>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</si>
  <si>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</si>
  <si>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</si>
  <si>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</si>
  <si>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</si>
  <si>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</si>
  <si>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</si>
  <si>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</si>
  <si>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</si>
  <si>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</si>
  <si>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</si>
  <si>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</si>
  <si>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</si>
  <si>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</si>
  <si>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</si>
  <si>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</si>
  <si>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</si>
  <si>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</si>
  <si>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</si>
  <si>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</si>
  <si>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</si>
  <si>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</si>
  <si>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</si>
  <si>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</si>
  <si>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</si>
  <si>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</si>
  <si>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</si>
  <si>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</si>
  <si>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</si>
  <si>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</si>
  <si>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</si>
  <si>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</si>
  <si>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</si>
  <si>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</si>
  <si>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</si>
  <si>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</si>
  <si>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</si>
  <si>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</si>
  <si>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</si>
  <si>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</si>
  <si>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</si>
  <si>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</si>
  <si>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</si>
  <si>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</si>
  <si>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</si>
  <si>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</si>
  <si>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</si>
  <si>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</si>
  <si>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</si>
  <si>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</si>
  <si>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</si>
  <si>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</si>
  <si>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</si>
  <si>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</si>
  <si>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</si>
  <si>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</si>
  <si>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</si>
  <si>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</si>
  <si>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</si>
  <si>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</si>
  <si>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</si>
  <si>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</si>
  <si>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</si>
  <si>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</si>
  <si>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</si>
  <si>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</si>
  <si>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</si>
  <si>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</si>
  <si>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</si>
  <si>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</si>
  <si>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</si>
  <si>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</si>
  <si>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</si>
  <si>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</si>
  <si>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</si>
  <si>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</si>
  <si>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</si>
  <si>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</si>
  <si>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</si>
  <si>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</si>
  <si>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</si>
  <si>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</si>
  <si>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</si>
  <si>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</si>
  <si>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</si>
  <si>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</si>
  <si>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</si>
  <si>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</si>
  <si>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</si>
  <si>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</si>
  <si>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</si>
  <si>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</si>
  <si>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</si>
  <si>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</si>
  <si>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</si>
  <si>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</si>
  <si>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</si>
  <si>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</si>
  <si>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</si>
  <si>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</si>
  <si>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</si>
  <si>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</si>
  <si>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</si>
  <si>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</si>
  <si>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</si>
  <si>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</si>
  <si>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</si>
  <si>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</si>
  <si>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</si>
  <si>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</si>
  <si>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</si>
  <si>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</si>
  <si>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</si>
  <si>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</si>
  <si>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</si>
  <si>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</si>
  <si>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</si>
  <si>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</si>
  <si>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</si>
  <si>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</si>
  <si>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</si>
  <si>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</si>
  <si>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</si>
  <si>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</si>
  <si>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</si>
  <si>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</si>
  <si>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</si>
  <si>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</si>
  <si>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</si>
  <si>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</si>
  <si>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</si>
  <si>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</si>
  <si>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</si>
  <si>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</si>
  <si>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</si>
  <si>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</si>
  <si>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</si>
  <si>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</si>
  <si>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</si>
  <si>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</si>
  <si>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</si>
  <si>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</si>
  <si>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</si>
  <si>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</si>
  <si>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</si>
  <si>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</si>
  <si>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</si>
  <si>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</si>
  <si>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</si>
  <si>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</si>
  <si>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</si>
  <si>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</si>
  <si>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</si>
  <si>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</si>
  <si>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</si>
  <si>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</si>
  <si>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</si>
  <si>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</si>
  <si>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</si>
  <si>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</si>
  <si>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</si>
  <si>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</si>
  <si>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</si>
  <si>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</si>
  <si>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</si>
  <si>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</si>
  <si>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</si>
  <si>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</si>
  <si>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</si>
  <si>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</si>
  <si>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</si>
  <si>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</si>
  <si>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</si>
  <si>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</si>
  <si>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</si>
  <si>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</si>
  <si>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</si>
  <si>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</si>
  <si>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</si>
  <si>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</si>
  <si>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</si>
  <si>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</si>
  <si>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</si>
  <si>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</si>
  <si>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</si>
  <si>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</si>
  <si>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</si>
  <si>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</si>
  <si>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</si>
  <si>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</si>
  <si>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</si>
  <si>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</si>
  <si>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</si>
  <si>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</si>
  <si>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</si>
  <si>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</si>
  <si>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</si>
  <si>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</si>
  <si>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</si>
  <si>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</si>
  <si>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</si>
  <si>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</si>
  <si>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</si>
  <si>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</si>
  <si>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</si>
  <si>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</si>
  <si>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</si>
  <si>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</si>
  <si>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</si>
  <si>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</si>
  <si>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</si>
  <si>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</si>
  <si>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</si>
  <si>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</si>
  <si>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</si>
  <si>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</si>
  <si>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</si>
  <si>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</si>
  <si>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</si>
  <si>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</si>
  <si>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</si>
  <si>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</si>
  <si>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</si>
  <si>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</si>
  <si>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</si>
  <si>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</si>
  <si>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</si>
  <si>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</si>
  <si>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</si>
  <si>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</si>
  <si>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</si>
  <si>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</si>
  <si>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</si>
  <si>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</si>
  <si>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</si>
  <si>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</si>
  <si>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</si>
  <si>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</si>
  <si>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</si>
  <si>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</si>
  <si>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</si>
  <si>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</si>
  <si>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</si>
  <si>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</si>
  <si>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</si>
  <si>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</si>
  <si>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</si>
  <si>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</si>
  <si>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</si>
  <si>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</si>
  <si>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</si>
  <si>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</si>
  <si>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</si>
  <si>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</si>
  <si>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</si>
  <si>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</si>
  <si>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</si>
  <si>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</si>
  <si>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</si>
  <si>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</si>
  <si>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</si>
  <si>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</si>
  <si>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</si>
  <si>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</si>
  <si>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</si>
  <si>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</si>
  <si>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</si>
  <si>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</si>
  <si>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</si>
  <si>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</si>
  <si>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</si>
  <si>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</si>
  <si>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</si>
  <si>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</si>
  <si>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</si>
  <si>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</si>
  <si>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</si>
  <si>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</si>
  <si>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</si>
  <si>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</si>
  <si>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</si>
  <si>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</si>
  <si>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</si>
  <si>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</si>
  <si>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</si>
  <si>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</si>
  <si>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</si>
  <si>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</si>
  <si>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</si>
  <si>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</si>
  <si>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</si>
  <si>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</si>
  <si>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</si>
  <si>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</si>
  <si>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</si>
  <si>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</si>
  <si>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</si>
  <si>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</si>
  <si>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</si>
  <si>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</si>
  <si>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</si>
  <si>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</si>
  <si>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</si>
  <si>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</si>
  <si>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</si>
  <si>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</si>
  <si>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</si>
  <si>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</si>
  <si>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</si>
  <si>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</si>
  <si>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</si>
  <si>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</si>
  <si>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</si>
  <si>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</si>
  <si>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</si>
  <si>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</si>
  <si>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</si>
  <si>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</si>
  <si>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</si>
  <si>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</si>
  <si>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</si>
  <si>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</si>
  <si>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</si>
  <si>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</si>
  <si>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</si>
  <si>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</si>
  <si>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</si>
  <si>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</si>
  <si>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</si>
  <si>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</si>
  <si>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</si>
  <si>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</si>
  <si>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</si>
  <si>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</si>
  <si>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</si>
  <si>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</si>
  <si>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</si>
  <si>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</si>
  <si>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</si>
  <si>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</si>
  <si>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</si>
  <si>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</si>
  <si>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</si>
  <si>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</si>
  <si>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</si>
  <si>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</si>
  <si>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</si>
  <si>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</si>
  <si>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</si>
  <si>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</si>
  <si>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</si>
  <si>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</si>
  <si>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</si>
  <si>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</si>
  <si>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</si>
  <si>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</si>
  <si>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</si>
  <si>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</si>
  <si>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</si>
  <si>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</si>
  <si>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</si>
  <si>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</si>
  <si>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</si>
  <si>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</si>
  <si>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</si>
  <si>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</si>
  <si>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</si>
  <si>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</si>
  <si>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</si>
  <si>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</si>
  <si>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</si>
  <si>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</si>
  <si>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</si>
  <si>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</si>
  <si>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</si>
  <si>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</si>
  <si>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</si>
  <si>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</si>
  <si>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</si>
  <si>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</si>
  <si>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</si>
  <si>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</si>
  <si>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</si>
  <si>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</si>
  <si>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</si>
  <si>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</si>
  <si>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</si>
  <si>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</si>
  <si>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</si>
  <si>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</si>
  <si>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</si>
  <si>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</si>
  <si>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</si>
  <si>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</si>
  <si>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</si>
  <si>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</si>
  <si>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</si>
  <si>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</si>
  <si>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</si>
  <si>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</si>
  <si>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</si>
  <si>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</si>
  <si>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</si>
  <si>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</si>
  <si>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</si>
  <si>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</si>
  <si>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</si>
  <si>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</si>
  <si>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</si>
  <si>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</si>
  <si>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</si>
  <si>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</si>
  <si>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</si>
  <si>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</si>
  <si>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</si>
  <si>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</si>
  <si>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</si>
  <si>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</si>
  <si>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</si>
  <si>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</si>
  <si>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</si>
  <si>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</si>
  <si>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</si>
  <si>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</si>
  <si>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</si>
  <si>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</si>
  <si>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</si>
  <si>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</si>
  <si>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</si>
  <si>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</si>
  <si>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</si>
  <si>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</si>
  <si>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</si>
  <si>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</si>
  <si>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</si>
  <si>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</si>
  <si>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</si>
  <si>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</si>
  <si>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</si>
  <si>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</si>
  <si>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</si>
  <si>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</si>
  <si>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</si>
  <si>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</si>
  <si>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</si>
  <si>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</si>
  <si>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</si>
  <si>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</si>
  <si>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</si>
  <si>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</si>
  <si>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</si>
  <si>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</si>
  <si>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</si>
  <si>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</si>
  <si>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</si>
  <si>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</si>
  <si>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</si>
  <si>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</si>
  <si>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</si>
  <si>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</si>
  <si>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</si>
  <si>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</si>
  <si>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</si>
  <si>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</si>
  <si>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</si>
  <si>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</si>
  <si>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</si>
  <si>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</si>
  <si>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</si>
  <si>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</si>
  <si>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</si>
  <si>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</si>
  <si>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</si>
  <si>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</si>
  <si>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</si>
  <si>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</si>
  <si>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</si>
  <si>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</si>
  <si>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</si>
  <si>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</si>
  <si>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</si>
  <si>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</si>
  <si>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</si>
  <si>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</si>
  <si>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</si>
  <si>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</si>
  <si>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</si>
  <si>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</si>
  <si>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</si>
  <si>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</si>
  <si>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</si>
  <si>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</si>
  <si>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</si>
  <si>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</si>
  <si>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</si>
  <si>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</si>
  <si>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</si>
  <si>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</si>
  <si>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</si>
  <si>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</si>
  <si>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</si>
  <si>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</si>
  <si>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</si>
  <si>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</si>
  <si>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</si>
  <si>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</si>
  <si>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</si>
  <si>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</si>
  <si>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</si>
  <si>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</si>
  <si>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</si>
  <si>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</si>
  <si>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</si>
  <si>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</si>
  <si>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</si>
  <si>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</si>
  <si>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</si>
  <si>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</si>
  <si>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</si>
  <si>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</si>
  <si>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</si>
  <si>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</si>
  <si>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</si>
  <si>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</si>
  <si>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</si>
  <si>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</si>
  <si>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</si>
  <si>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</si>
  <si>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</si>
  <si>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</si>
  <si>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</si>
  <si>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</si>
  <si>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</si>
  <si>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</si>
  <si>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</si>
  <si>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</si>
  <si>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</si>
  <si>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</si>
  <si>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</si>
  <si>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</si>
  <si>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</si>
  <si>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</si>
  <si>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</si>
  <si>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</si>
  <si>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</si>
  <si>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</si>
  <si>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</si>
  <si>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</si>
  <si>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</si>
  <si>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</si>
  <si>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</si>
  <si>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</si>
  <si>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</si>
  <si>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</si>
  <si>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</si>
  <si>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</si>
  <si>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</si>
  <si>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</si>
  <si>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</si>
  <si>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</si>
  <si>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</si>
  <si>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</si>
  <si>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</si>
  <si>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</si>
  <si>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</si>
  <si>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</si>
  <si>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</si>
  <si>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</si>
  <si>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</si>
  <si>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</si>
  <si>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</si>
  <si>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</si>
  <si>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</si>
  <si>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</si>
  <si>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</si>
  <si>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</si>
  <si>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</si>
  <si>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</si>
  <si>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</si>
  <si>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</si>
  <si>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</si>
  <si>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</si>
  <si>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</si>
  <si>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</si>
  <si>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</si>
  <si>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</si>
  <si>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</si>
  <si>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</si>
  <si>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</si>
  <si>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</si>
  <si>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</si>
  <si>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</si>
  <si>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</si>
  <si>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</si>
  <si>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</si>
  <si>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</si>
  <si>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</si>
  <si>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</si>
  <si>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</si>
  <si>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</si>
  <si>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</si>
  <si>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</si>
  <si>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</si>
  <si>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</si>
  <si>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</si>
  <si>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</si>
  <si>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</si>
  <si>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</si>
  <si>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</si>
  <si>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</si>
  <si>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</si>
  <si>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</si>
  <si>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</si>
  <si>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</si>
  <si>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</si>
  <si>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</si>
  <si>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</si>
  <si>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</si>
  <si>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</si>
  <si>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</si>
  <si>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</si>
  <si>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</si>
  <si>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</si>
  <si>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</si>
  <si>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</si>
  <si>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</si>
  <si>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</si>
  <si>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</si>
  <si>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</si>
  <si>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</si>
  <si>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</si>
  <si>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</si>
  <si>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</si>
  <si>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</si>
  <si>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</si>
  <si>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</si>
  <si>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</si>
  <si>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</si>
  <si>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</si>
  <si>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</si>
  <si>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</si>
  <si>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</si>
  <si>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</si>
  <si>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</si>
  <si>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</si>
  <si>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</si>
  <si>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</si>
  <si>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</si>
  <si>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</si>
  <si>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</si>
  <si>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</si>
  <si>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</si>
  <si>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</si>
  <si>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</si>
  <si>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</si>
  <si>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</si>
  <si>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</si>
  <si>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</si>
  <si>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</si>
  <si>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</si>
  <si>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</si>
  <si>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</si>
  <si>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</si>
  <si>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</si>
  <si>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</si>
  <si>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</si>
  <si>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</si>
  <si>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</si>
  <si>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</si>
  <si>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</si>
  <si>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</si>
  <si>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</si>
  <si>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</si>
  <si>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</si>
  <si>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</si>
  <si>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</si>
  <si>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</si>
  <si>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</si>
  <si>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</si>
  <si>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</si>
  <si>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</si>
  <si>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</si>
  <si>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</si>
  <si>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</si>
  <si>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</si>
  <si>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</si>
  <si>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</si>
  <si>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</si>
  <si>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</si>
  <si>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</si>
  <si>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</si>
  <si>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</si>
  <si>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</si>
  <si>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</si>
  <si>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</si>
  <si>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</si>
  <si>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</si>
  <si>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</si>
  <si>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</si>
  <si>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</si>
  <si>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</si>
  <si>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</si>
  <si>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</si>
  <si>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</si>
  <si>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</si>
  <si>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</si>
  <si>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</si>
  <si>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</si>
  <si>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</si>
  <si>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</si>
  <si>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</si>
  <si>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</si>
  <si>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</si>
  <si>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</si>
  <si>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</si>
  <si>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</si>
  <si>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</si>
  <si>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</si>
  <si>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</si>
  <si>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</si>
  <si>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</si>
  <si>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</si>
  <si>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</si>
  <si>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</si>
  <si>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</si>
  <si>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</si>
  <si>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</si>
  <si>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</si>
  <si>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</si>
  <si>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</si>
  <si>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</si>
  <si>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</si>
  <si>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</si>
  <si>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</si>
  <si>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</si>
  <si>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</si>
  <si>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</si>
  <si>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</si>
  <si>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</si>
  <si>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</si>
  <si>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</si>
  <si>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</si>
  <si>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</si>
  <si>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</si>
  <si>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</si>
  <si>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</si>
  <si>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</si>
  <si>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</si>
  <si>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</si>
  <si>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</si>
  <si>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</si>
  <si>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</si>
  <si>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</si>
  <si>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</si>
  <si>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</si>
  <si>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</si>
  <si>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</si>
  <si>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</si>
  <si>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</si>
  <si>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</si>
  <si>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</si>
  <si>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</si>
  <si>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</si>
  <si>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</si>
  <si>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</si>
  <si>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</si>
  <si>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</si>
  <si>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</si>
  <si>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</si>
  <si>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</si>
  <si>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</si>
  <si>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</si>
  <si>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</si>
  <si>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</si>
  <si>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</si>
  <si>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</si>
  <si>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</si>
  <si>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</si>
  <si>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</si>
  <si>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</si>
  <si>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</si>
  <si>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</si>
  <si>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</si>
  <si>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</si>
  <si>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</si>
  <si>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</si>
  <si>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</si>
  <si>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</si>
  <si>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</si>
  <si>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</si>
  <si>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</si>
  <si>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</si>
  <si>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</si>
  <si>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</si>
  <si>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</si>
  <si>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</si>
  <si>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</si>
  <si>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</si>
  <si>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</si>
  <si>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</si>
  <si>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</si>
  <si>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</si>
  <si>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</si>
  <si>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</si>
  <si>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</si>
  <si>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</si>
  <si>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</si>
  <si>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</si>
  <si>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</si>
  <si>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</si>
  <si>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</si>
  <si>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</si>
  <si>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</si>
  <si>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</si>
  <si>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</si>
  <si>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</si>
  <si>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</si>
  <si>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</si>
  <si>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</si>
  <si>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</si>
  <si>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</si>
  <si>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</si>
  <si>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</si>
  <si>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</si>
  <si>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</si>
  <si>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</si>
  <si>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</si>
  <si>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</si>
  <si>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</si>
  <si>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</si>
  <si>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</si>
  <si>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</si>
  <si>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</si>
  <si>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</si>
  <si>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</si>
  <si>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</si>
  <si>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</si>
  <si>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</si>
  <si>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</si>
  <si>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</si>
  <si>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</si>
  <si>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</si>
  <si>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</si>
  <si>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</si>
  <si>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</si>
  <si>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</si>
  <si>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</si>
  <si>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</si>
  <si>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</si>
  <si>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</si>
  <si>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</si>
  <si>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</si>
  <si>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</si>
  <si>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</si>
  <si>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</si>
  <si>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</si>
  <si>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</si>
  <si>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</si>
  <si>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</si>
  <si>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</si>
  <si>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</si>
  <si>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</si>
  <si>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</si>
  <si>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</si>
  <si>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</si>
  <si>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</si>
  <si>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</si>
  <si>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</si>
  <si>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</si>
  <si>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</si>
  <si>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</si>
  <si>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</si>
  <si>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</si>
  <si>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</si>
  <si>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</si>
  <si>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</si>
  <si>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</si>
  <si>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</si>
  <si>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</si>
  <si>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</si>
  <si>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</si>
  <si>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</si>
  <si>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</si>
  <si>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</si>
  <si>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</si>
  <si>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</si>
  <si>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</si>
  <si>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</si>
  <si>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</si>
  <si>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</si>
  <si>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</si>
  <si>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</si>
  <si>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</si>
  <si>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</si>
  <si>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</si>
  <si>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</si>
  <si>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</si>
  <si>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</si>
  <si>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</si>
  <si>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</si>
  <si>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</si>
  <si>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</si>
  <si>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</si>
  <si>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</si>
  <si>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</si>
  <si>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</si>
  <si>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</si>
  <si>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</si>
  <si>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</si>
  <si>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</si>
  <si>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</si>
  <si>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</si>
  <si>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</si>
  <si>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</si>
  <si>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</si>
  <si>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</si>
  <si>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</si>
  <si>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</si>
  <si>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</si>
  <si>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</si>
  <si>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</si>
  <si>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</si>
  <si>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</si>
  <si>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</si>
  <si>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</si>
  <si>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</si>
  <si>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</si>
  <si>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</si>
  <si>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</si>
  <si>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</si>
  <si>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</si>
  <si>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</si>
  <si>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</si>
  <si>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</si>
  <si>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</si>
  <si>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</si>
  <si>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</si>
  <si>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</si>
  <si>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</si>
  <si>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</si>
  <si>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</si>
  <si>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</si>
  <si>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</si>
  <si>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</si>
  <si>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</si>
  <si>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</si>
  <si>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</si>
  <si>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</si>
  <si>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</si>
  <si>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</si>
  <si>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</si>
  <si>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</si>
  <si>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</si>
  <si>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</si>
  <si>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</si>
  <si>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</si>
  <si>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</si>
  <si>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</si>
  <si>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</si>
  <si>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</si>
  <si>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</si>
  <si>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</si>
  <si>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</si>
  <si>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</si>
  <si>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</si>
  <si>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</si>
  <si>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</si>
  <si>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</si>
  <si>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</si>
  <si>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</si>
  <si>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</si>
  <si>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</si>
  <si>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</si>
  <si>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</si>
  <si>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</si>
  <si>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</si>
  <si>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</si>
  <si>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</si>
  <si>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</si>
  <si>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</si>
  <si>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</si>
  <si>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</si>
  <si>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</si>
  <si>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</si>
  <si>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</si>
  <si>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</si>
  <si>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</si>
  <si>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</si>
  <si>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</si>
  <si>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</si>
  <si>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</si>
  <si>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</si>
  <si>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</si>
  <si>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</si>
  <si>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</si>
  <si>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</si>
  <si>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</si>
  <si>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</si>
  <si>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</si>
  <si>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</si>
  <si>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</si>
  <si>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</si>
  <si>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</si>
  <si>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</si>
  <si>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</si>
  <si>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</si>
  <si>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</si>
  <si>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</si>
  <si>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</si>
  <si>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</si>
  <si>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</si>
  <si>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</si>
  <si>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</si>
  <si>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</si>
  <si>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</si>
  <si>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</si>
  <si>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</si>
  <si>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</si>
  <si>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</si>
  <si>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</si>
  <si>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</si>
  <si>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</si>
  <si>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</si>
  <si>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</si>
  <si>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</si>
  <si>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</si>
  <si>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</si>
  <si>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</si>
  <si>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</si>
  <si>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</si>
  <si>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</si>
  <si>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</si>
  <si>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</si>
  <si>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</si>
  <si>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</si>
  <si>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</si>
  <si>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</si>
  <si>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</si>
  <si>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</si>
  <si>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</si>
  <si>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</si>
  <si>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</si>
  <si>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</si>
  <si>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</si>
  <si>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</si>
  <si>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</si>
  <si>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</si>
  <si>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</si>
  <si>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</si>
  <si>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</si>
  <si>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</si>
  <si>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</si>
  <si>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</si>
  <si>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</si>
  <si>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</si>
  <si>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</si>
  <si>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</si>
  <si>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</si>
  <si>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</si>
  <si>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</si>
  <si>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</si>
  <si>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</si>
  <si>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</si>
  <si>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</si>
  <si>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</si>
  <si>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</si>
  <si>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</si>
  <si>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</si>
  <si>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</si>
  <si>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</si>
  <si>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</si>
  <si>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</si>
  <si>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</si>
  <si>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</si>
  <si>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</si>
  <si>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</si>
  <si>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</si>
  <si>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</si>
  <si>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</si>
  <si>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</si>
  <si>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</si>
  <si>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</si>
  <si>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</si>
  <si>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</si>
  <si>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</si>
  <si>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</si>
  <si>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</si>
  <si>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</si>
  <si>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</si>
  <si>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</si>
  <si>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</si>
  <si>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</si>
  <si>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</si>
  <si>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</si>
  <si>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</si>
  <si>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</si>
  <si>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</si>
  <si>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</si>
  <si>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</si>
  <si>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</si>
  <si>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</si>
  <si>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</si>
  <si>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</si>
  <si>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</si>
  <si>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</si>
  <si>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</si>
  <si>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</si>
  <si>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</si>
  <si>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</si>
  <si>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</si>
  <si>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</si>
  <si>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</si>
  <si>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</si>
  <si>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</si>
  <si>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</si>
  <si>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</si>
  <si>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</si>
  <si>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</si>
  <si>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</si>
  <si>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</si>
  <si>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</si>
  <si>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</si>
  <si>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</si>
  <si>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</si>
  <si>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</si>
  <si>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</si>
  <si>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</si>
  <si>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</si>
  <si>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</si>
  <si>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</si>
  <si>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</si>
  <si>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</si>
  <si>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</si>
  <si>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</si>
  <si>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</si>
  <si>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</si>
  <si>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</si>
  <si>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</si>
  <si>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</si>
  <si>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</si>
  <si>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</si>
  <si>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</si>
  <si>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</si>
  <si>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</si>
  <si>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</si>
  <si>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</si>
  <si>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</si>
  <si>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</si>
  <si>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</si>
  <si>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</si>
  <si>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</si>
  <si>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</si>
  <si>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</si>
  <si>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</si>
  <si>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</si>
  <si>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</si>
  <si>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</si>
  <si>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</si>
  <si>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</si>
  <si>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</si>
  <si>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</si>
  <si>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</si>
  <si>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</si>
  <si>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</si>
  <si>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</si>
  <si>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</si>
  <si>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</si>
  <si>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</si>
  <si>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</si>
  <si>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</si>
  <si>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</si>
  <si>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</si>
  <si>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</si>
  <si>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</si>
  <si>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</si>
  <si>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</si>
  <si>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</si>
  <si>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</si>
  <si>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</si>
  <si>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</si>
  <si>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</si>
  <si>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</si>
  <si>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</si>
  <si>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</si>
  <si>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</si>
  <si>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</si>
  <si>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</si>
  <si>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</si>
  <si>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</si>
  <si>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</si>
  <si>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</si>
  <si>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</si>
  <si>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</si>
  <si>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</si>
  <si>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</si>
  <si>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</si>
  <si>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</si>
  <si>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</si>
  <si>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</si>
  <si>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</si>
  <si>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</si>
  <si>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</si>
  <si>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</si>
  <si>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</si>
  <si>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</si>
  <si>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</si>
  <si>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</si>
  <si>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</si>
  <si>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</si>
  <si>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</si>
  <si>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</si>
  <si>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</si>
  <si>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</si>
  <si>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</si>
  <si>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</si>
  <si>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</si>
  <si>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</si>
  <si>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</si>
  <si>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</si>
  <si>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</si>
  <si>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</si>
  <si>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</si>
  <si>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</si>
  <si>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</si>
  <si>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</si>
  <si>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</si>
  <si>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</si>
  <si>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</si>
  <si>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</si>
  <si>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</si>
  <si>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</si>
  <si>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</si>
  <si>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</si>
  <si>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</si>
  <si>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</si>
  <si>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</si>
  <si>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</si>
  <si>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</si>
  <si>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</si>
  <si>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</si>
  <si>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</si>
  <si>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</si>
  <si>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</si>
  <si>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</si>
  <si>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</si>
  <si>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</si>
  <si>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</si>
  <si>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</si>
  <si>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</si>
  <si>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</si>
  <si>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</si>
  <si>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</si>
  <si>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</si>
  <si>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</si>
  <si>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</si>
  <si>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</si>
  <si>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</si>
  <si>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</si>
  <si>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</si>
  <si>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</si>
  <si>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</si>
  <si>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</si>
  <si>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</si>
  <si>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</si>
  <si>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</si>
  <si>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</si>
  <si>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</si>
  <si>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</si>
  <si>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</si>
  <si>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</si>
  <si>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</si>
  <si>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</si>
  <si>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</si>
  <si>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</si>
  <si>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</si>
  <si>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</si>
  <si>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</si>
  <si>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</si>
  <si>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</si>
  <si>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</si>
  <si>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</si>
  <si>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</si>
  <si>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</si>
  <si>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</si>
  <si>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</si>
  <si>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</si>
  <si>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</si>
  <si>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</si>
  <si>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</si>
  <si>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</si>
  <si>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</si>
  <si>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</si>
  <si>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</si>
  <si>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</si>
  <si>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>ZFY-ZXP</t>
  </si>
  <si>
    <t>Alterado programação para descarga de dormentes do km190 ao km 191+000 / MC1 08h06 / Em intervalo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</si>
  <si>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</si>
  <si>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</si>
  <si>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</si>
  <si>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</si>
  <si>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</si>
  <si>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</si>
  <si>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</si>
  <si>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</si>
  <si>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</si>
  <si>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</si>
  <si>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</si>
  <si>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</si>
  <si>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</si>
  <si>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</si>
  <si>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</si>
  <si>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TP não solicita intervalo / realizando trabalho emergêncial</t>
  </si>
  <si>
    <t>Robson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</si>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</sst>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O253" activePane="topRight" state="frozen"/>
      <selection pane="topRight" activeCell="W265" sqref="W26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8" t="s">
        <v>950</v>
      </c>
      <c r="C1" s="209"/>
      <c r="D1" s="209"/>
      <c r="E1" s="3"/>
      <c r="F1" s="208" t="s">
        <v>951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185" t="s">
        <v>952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953</v>
      </c>
      <c r="BI1" s="191"/>
      <c r="BJ1" s="191"/>
      <c r="BK1" s="192"/>
      <c r="BL1" s="5"/>
      <c r="BM1" s="182" t="s">
        <v>954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5" t="s">
        <v>955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958</v>
      </c>
      <c r="AT2" s="186"/>
      <c r="AU2" s="186"/>
      <c r="AV2" s="186"/>
      <c r="AW2" s="186"/>
      <c r="AX2" s="186"/>
      <c r="AY2" s="189"/>
      <c r="AZ2" s="6"/>
      <c r="BA2" s="199" t="s">
        <v>959</v>
      </c>
      <c r="BB2" s="200"/>
      <c r="BC2" s="185" t="s">
        <v>956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9" t="s">
        <v>960</v>
      </c>
      <c r="AJ3" s="200"/>
      <c r="AK3" s="199" t="s">
        <v>961</v>
      </c>
      <c r="AL3" s="205"/>
      <c r="AM3" s="206"/>
      <c r="AN3" s="207"/>
      <c r="AO3" s="205"/>
      <c r="AP3" s="205"/>
      <c r="AQ3" s="200"/>
      <c r="AR3" s="63"/>
      <c r="AS3" s="203" t="s">
        <v>967</v>
      </c>
      <c r="AT3" s="204"/>
      <c r="AU3" s="203" t="s">
        <v>968</v>
      </c>
      <c r="AV3" s="204"/>
      <c r="AW3" s="203" t="s">
        <v>969</v>
      </c>
      <c r="AX3" s="204"/>
      <c r="AY3" s="63" t="s">
        <v>970</v>
      </c>
      <c r="AZ3" s="63"/>
      <c r="BA3" s="201"/>
      <c r="BB3" s="202"/>
      <c r="BC3" s="199" t="s">
        <v>963</v>
      </c>
      <c r="BD3" s="205"/>
      <c r="BE3" s="205"/>
      <c r="BF3" s="200"/>
      <c r="BG3" s="62"/>
      <c r="BH3" s="193"/>
      <c r="BI3" s="194"/>
      <c r="BJ3" s="194"/>
      <c r="BK3" s="195"/>
      <c r="BL3" s="62"/>
      <c r="BM3" s="182" t="s">
        <v>971</v>
      </c>
      <c r="BN3" s="183"/>
      <c r="BO3" s="183"/>
      <c r="BP3" s="184"/>
      <c r="BQ3" s="182" t="s">
        <v>742</v>
      </c>
      <c r="BR3" s="183"/>
      <c r="BS3" s="18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 t="s">
        <v>1364</v>
      </c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1365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1366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1367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1368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1</v>
      </c>
      <c r="BI227" s="17"/>
      <c r="BJ227" s="17" t="s">
        <v>1369</v>
      </c>
      <c r="BK227" s="18"/>
      <c r="BL227" s="16"/>
      <c r="BM227" s="130"/>
      <c r="BN227" s="130"/>
      <c r="BO227" s="130"/>
      <c r="BP227" s="18"/>
      <c r="BQ227" s="12" t="str">
        <f t="shared" si="22"/>
        <v>Produção</v>
      </c>
      <c r="BR227" s="19">
        <f t="shared" si="23"/>
        <v>1</v>
      </c>
      <c r="BS227" s="19">
        <f t="shared" si="24"/>
        <v>0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1370</v>
      </c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 t="s">
        <v>1080</v>
      </c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 t="s">
        <v>1080</v>
      </c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1</v>
      </c>
      <c r="BI231" s="17"/>
      <c r="BJ231" s="17" t="s">
        <v>1372</v>
      </c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0.66666666666666696</v>
      </c>
      <c r="BS231" s="19">
        <f t="shared" si="24"/>
        <v>0</v>
      </c>
      <c r="BT231" s="8" t="str">
        <f t="shared" si="25"/>
        <v/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1373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1374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1375</v>
      </c>
      <c r="BK238" s="18" t="s">
        <v>1375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1375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1376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1377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1</v>
      </c>
      <c r="BI239" s="17"/>
      <c r="BJ239" s="17" t="s">
        <v>1378</v>
      </c>
      <c r="BK239" s="18"/>
      <c r="BL239" s="16"/>
      <c r="BM239" s="130"/>
      <c r="BN239" s="130"/>
      <c r="BO239" s="130"/>
      <c r="BP239" s="18"/>
      <c r="BQ239" s="12" t="str">
        <f t="shared" si="22"/>
        <v>Produção</v>
      </c>
      <c r="BR239" s="19">
        <f t="shared" si="23"/>
        <v>1.0000000000000004</v>
      </c>
      <c r="BS239" s="19">
        <f t="shared" si="24"/>
        <v>0</v>
      </c>
      <c r="BT239" s="8" t="str">
        <f t="shared" si="25"/>
        <v/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1379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1380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1381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1382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1383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1384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1385</v>
      </c>
      <c r="I247" s="106" t="s">
        <v>1385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1386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1</v>
      </c>
      <c r="BI247" s="17"/>
      <c r="BJ247" s="17" t="s">
        <v>1387</v>
      </c>
      <c r="BK247" s="18" t="s">
        <v>1387</v>
      </c>
      <c r="BL247" s="16"/>
      <c r="BM247" s="130" t="s">
        <v>440</v>
      </c>
      <c r="BN247" s="130" t="s">
        <v>460</v>
      </c>
      <c r="BO247" s="130" t="s">
        <v>568</v>
      </c>
      <c r="BP247" s="18"/>
      <c r="BQ247" s="12" t="str">
        <f t="shared" si="22"/>
        <v>Produção</v>
      </c>
      <c r="BR247" s="19">
        <f t="shared" si="23"/>
        <v>1</v>
      </c>
      <c r="BS247" s="19">
        <f t="shared" si="24"/>
        <v>0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1385</v>
      </c>
      <c r="I248" s="106" t="s">
        <v>1385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0</v>
      </c>
      <c r="AU251" s="136"/>
      <c r="AV251" s="136"/>
      <c r="AW251" s="14"/>
      <c r="AX251" s="14"/>
      <c r="AY251" s="164">
        <f t="shared" si="20"/>
        <v>0</v>
      </c>
      <c r="AZ251" s="153"/>
      <c r="BA251" s="109">
        <v>0</v>
      </c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0</v>
      </c>
      <c r="BI251" s="17"/>
      <c r="BJ251" s="17" t="s">
        <v>1145</v>
      </c>
      <c r="BK251" s="18" t="s">
        <v>1145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1388</v>
      </c>
      <c r="BK252" s="18" t="s">
        <v>1388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1388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</v>
      </c>
      <c r="B256" s="102"/>
      <c r="C256" s="135" t="str">
        <f>IF(BS_CONTROLE[[#This Row],[DATA]]="","",WEEKNUM(BS_CONTROLE[[#This Row],[DATA]]))</f>
        <v/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/>
      <c r="AS256" s="108"/>
      <c r="AT256" s="108"/>
      <c r="AU256" s="136"/>
      <c r="AV256" s="136"/>
      <c r="AW256" s="14"/>
      <c r="AX256" s="14"/>
      <c r="AY256" s="164">
        <f t="shared" si="20"/>
        <v>0</v>
      </c>
      <c r="AZ256" s="153"/>
      <c r="BA256" s="109"/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>KLECIO (TP-699)</v>
      </c>
      <c r="B257" s="102"/>
      <c r="C257" s="135" t="str">
        <f>IF(BS_CONTROLE[[#This Row],[DATA]]="","",WEEKNUM(BS_CONTROLE[[#This Row],[DATA]]))</f>
        <v/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/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</v>
      </c>
      <c r="B259" s="102"/>
      <c r="C259" s="135" t="str">
        <f>IF(BS_CONTROLE[[#This Row],[DATA]]="","",WEEKNUM(BS_CONTROLE[[#This Row],[DATA]]))</f>
        <v/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0.16666666666666666</v>
      </c>
      <c r="Q259" s="105">
        <v>3120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/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 t="s">
        <v>593</v>
      </c>
      <c r="I260" s="105" t="s">
        <v>593</v>
      </c>
      <c r="J260" s="105">
        <v>56</v>
      </c>
      <c r="K260" s="105">
        <v>243.3</v>
      </c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0" s="106">
        <v>0.39583333333333331</v>
      </c>
      <c r="P260" s="106">
        <v>8.3333333333333329E-2</v>
      </c>
      <c r="Q260" s="172">
        <v>40</v>
      </c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0" s="105"/>
      <c r="W260" s="151"/>
      <c r="X260" s="104"/>
      <c r="Y260" s="129"/>
      <c r="Z260" s="104"/>
      <c r="AA260" s="105">
        <v>1</v>
      </c>
      <c r="AB260" s="103" t="s">
        <v>412</v>
      </c>
      <c r="AC260" s="152"/>
      <c r="AD260" s="107">
        <v>0.29166666666666669</v>
      </c>
      <c r="AE260" s="105" t="s">
        <v>593</v>
      </c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 t="str">
        <f>BS_CONTROLE[[#This Row],[Local - Partida]]</f>
        <v>-</v>
      </c>
      <c r="AL260" s="31" t="str">
        <f>BS_CONTROLE[[#This Row],[Local - Encerramento]]</f>
        <v>-</v>
      </c>
      <c r="AM260" s="105" t="str">
        <f>IF(BS_CONTROLE[[#This Row],[Entre - Estações]]=0, "-", BS_CONTROLE[[#This Row],[Entre - Estações]])</f>
        <v>ZDS-ZQB</v>
      </c>
      <c r="AN260" s="105" t="str">
        <f>IF(BS_CONTROLE[[#This Row],[SB]]=0, "-", BS_CONTROLE[[#This Row],[SB]])</f>
        <v>ZDS2482</v>
      </c>
      <c r="AO260" s="105">
        <f>IF(BS_CONTROLE[[#This Row],[SUB]]=0, "-", BS_CONTROLE[[#This Row],[SUB]])</f>
        <v>56</v>
      </c>
      <c r="AP260" s="105">
        <f>BS_CONTROLE[[#This Row],[KM - Inicio]]</f>
        <v>243.3</v>
      </c>
      <c r="AQ260" s="105">
        <f>BS_CONTROLE[[#This Row],[KM - Inicio]]</f>
        <v>243.3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416</v>
      </c>
      <c r="Y261" s="129"/>
      <c r="Z261" s="104"/>
      <c r="AA261" s="105">
        <v>1</v>
      </c>
      <c r="AB261" s="103" t="s">
        <v>418</v>
      </c>
      <c r="AC261" s="152"/>
      <c r="AD261" s="107">
        <v>0.29166666666666669</v>
      </c>
      <c r="AE261" s="105">
        <v>7309</v>
      </c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8.3333333333333329E-2</v>
      </c>
      <c r="Q262" s="105">
        <v>200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/>
      <c r="Z262" s="104"/>
      <c r="AA262" s="105" t="s">
        <v>593</v>
      </c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/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416</v>
      </c>
      <c r="Y263" s="129"/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/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416</v>
      </c>
      <c r="Y264" s="129"/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1389</v>
      </c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>EDSON (TP-780)46064</v>
      </c>
      <c r="B266" s="102">
        <v>46064</v>
      </c>
      <c r="C266" s="135">
        <f>IF(BS_CONTROLE[[#This Row],[DATA]]="","",WEEKNUM(BS_CONTROLE[[#This Row],[DATA]]))</f>
        <v>7</v>
      </c>
      <c r="D266" s="104" t="s">
        <v>876</v>
      </c>
      <c r="E266" s="159"/>
      <c r="F266" s="126" t="s">
        <v>779</v>
      </c>
      <c r="G266" s="142" t="str">
        <f>IF(D266="","*",VLOOKUP(F266,BS_ATIVIDADE[],3,FALSE))</f>
        <v>DORMENTE - SUBSTITUIÇÂO</v>
      </c>
      <c r="H266" s="105" t="s">
        <v>593</v>
      </c>
      <c r="I266" s="105" t="s">
        <v>593</v>
      </c>
      <c r="J266" s="105">
        <v>56</v>
      </c>
      <c r="K266" s="105">
        <v>243.3</v>
      </c>
      <c r="L266" s="105" t="s">
        <v>593</v>
      </c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6" s="106">
        <v>0.39583333333333331</v>
      </c>
      <c r="P266" s="106">
        <v>8.3333333333333329E-2</v>
      </c>
      <c r="Q266" s="172">
        <v>40</v>
      </c>
      <c r="R266" s="10" t="str">
        <f>IFERROR(_xlfn.XLOOKUP(F266, BS_ATIVIDADE[ATIVIDADE],BS_ATIVIDADE[UNIDADE] ), "*")</f>
        <v>Nº DE DORMENTES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PDM - SUBSTITUIÇÃO - DORMENTE</v>
      </c>
      <c r="AJ266" s="9" t="str">
        <f>IF(BS_CONTROLE[[#This Row],[Atividade]]=0, "-", BS_CONTROLE[[#This Row],[Atividade]])</f>
        <v>PDM - SUBSTITUIÇÃO - DORMENTE</v>
      </c>
      <c r="AK266" s="31" t="str">
        <f>BS_CONTROLE[[#This Row],[Local - Partida]]</f>
        <v>-</v>
      </c>
      <c r="AL266" s="31" t="str">
        <f>BS_CONTROLE[[#This Row],[Local - Encerramento]]</f>
        <v>-</v>
      </c>
      <c r="AM266" s="105" t="str">
        <f>IF(BS_CONTROLE[[#This Row],[Entre - Estações]]=0, "-", BS_CONTROLE[[#This Row],[Entre - Estações]])</f>
        <v>ZDS-ZQB</v>
      </c>
      <c r="AN266" s="105" t="str">
        <f>IF(BS_CONTROLE[[#This Row],[SB]]=0, "-", BS_CONTROLE[[#This Row],[SB]])</f>
        <v>ZDS2482</v>
      </c>
      <c r="AO266" s="105">
        <f>IF(BS_CONTROLE[[#This Row],[SUB]]=0, "-", BS_CONTROLE[[#This Row],[SUB]])</f>
        <v>56</v>
      </c>
      <c r="AP266" s="105">
        <f>BS_CONTROLE[[#This Row],[KM - Inicio]]</f>
        <v>243.3</v>
      </c>
      <c r="AQ266" s="105">
        <f>BS_CONTROLE[[#This Row],[KM - Inicio]]</f>
        <v>243.3</v>
      </c>
      <c r="AR266" s="108"/>
      <c r="AS266" s="108"/>
      <c r="AT266" s="108"/>
      <c r="AU266" s="136"/>
      <c r="AV266" s="136"/>
      <c r="AW266" s="14"/>
      <c r="AX266" s="14"/>
      <c r="AY266" s="164">
        <f t="shared" si="26"/>
        <v>0</v>
      </c>
      <c r="AZ266" s="153"/>
      <c r="BA266" s="109"/>
      <c r="BB266" s="10" t="str">
        <f>IFERROR(_xlfn.XLOOKUP(AI266, BS_ATIVIDADE[ATIVIDADE],BS_ATIVIDADE[UNIDADE] ), "*")</f>
        <v>Nº DE DORMENTES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Produção e Intervalo</v>
      </c>
      <c r="BR266" s="19">
        <f t="shared" si="29"/>
        <v>0</v>
      </c>
      <c r="BS266" s="19">
        <f t="shared" si="30"/>
        <v>0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/>
      <c r="F267" s="126"/>
      <c r="G267" s="142" t="str">
        <f>IF(D267="","*",VLOOKUP(F267,BS_ATIVIDADE[],3,FALSE))</f>
        <v>*</v>
      </c>
      <c r="H267" s="105"/>
      <c r="I267" s="105"/>
      <c r="J267" s="105"/>
      <c r="K267" s="105"/>
      <c r="L267" s="105"/>
      <c r="M267" s="1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5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72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1390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1391</v>
      </c>
      <c r="C4" s="160" t="s">
        <v>1392</v>
      </c>
      <c r="D4" s="160" t="s">
        <v>1393</v>
      </c>
      <c r="E4" s="160" t="s">
        <v>1394</v>
      </c>
      <c r="F4" s="160" t="s">
        <v>4</v>
      </c>
      <c r="G4" s="160" t="s">
        <v>1395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1396</v>
      </c>
      <c r="C6" s="161">
        <v>407867</v>
      </c>
      <c r="D6" s="161" t="s">
        <v>1397</v>
      </c>
      <c r="E6" s="161" t="s">
        <v>824</v>
      </c>
      <c r="F6" s="161" t="s">
        <v>1398</v>
      </c>
      <c r="G6" s="162"/>
    </row>
    <row r="7" spans="2:7">
      <c r="B7" s="161" t="s">
        <v>1399</v>
      </c>
      <c r="C7" s="161">
        <v>293644</v>
      </c>
      <c r="D7" s="161" t="s">
        <v>1400</v>
      </c>
      <c r="E7" s="161" t="s">
        <v>824</v>
      </c>
      <c r="F7" s="161" t="s">
        <v>1398</v>
      </c>
      <c r="G7" s="162"/>
    </row>
    <row r="8" spans="2:7">
      <c r="B8" s="161" t="s">
        <v>1401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1402</v>
      </c>
      <c r="C9" s="161">
        <v>256790</v>
      </c>
      <c r="D9" s="161" t="s">
        <v>1403</v>
      </c>
      <c r="E9" s="161" t="s">
        <v>825</v>
      </c>
      <c r="F9" s="161" t="s">
        <v>1404</v>
      </c>
      <c r="G9" s="162">
        <v>46357</v>
      </c>
    </row>
    <row r="10" spans="2:7">
      <c r="B10" s="161" t="s">
        <v>1405</v>
      </c>
      <c r="C10" s="161">
        <v>265193</v>
      </c>
      <c r="D10" s="161" t="s">
        <v>1406</v>
      </c>
      <c r="E10" s="161" t="s">
        <v>826</v>
      </c>
      <c r="F10" s="161" t="s">
        <v>54</v>
      </c>
      <c r="G10" s="161" t="s">
        <v>1407</v>
      </c>
    </row>
    <row r="11" spans="2:7">
      <c r="B11" s="161" t="s">
        <v>1408</v>
      </c>
      <c r="C11" s="161">
        <v>293716</v>
      </c>
      <c r="D11" s="161" t="s">
        <v>1409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1410</v>
      </c>
      <c r="C12" s="161">
        <v>257258</v>
      </c>
      <c r="D12" s="161" t="s">
        <v>1411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1412</v>
      </c>
      <c r="C13" s="161">
        <v>371147</v>
      </c>
      <c r="D13" s="161" t="s">
        <v>1413</v>
      </c>
      <c r="E13" s="161" t="s">
        <v>827</v>
      </c>
      <c r="F13" s="161" t="s">
        <v>71</v>
      </c>
      <c r="G13" s="161" t="s">
        <v>1407</v>
      </c>
    </row>
    <row r="14" spans="2:7">
      <c r="B14" s="161" t="s">
        <v>1414</v>
      </c>
      <c r="C14" s="161">
        <v>259230</v>
      </c>
      <c r="D14" s="161" t="s">
        <v>1415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1416</v>
      </c>
      <c r="C15" s="161">
        <v>370705</v>
      </c>
      <c r="D15" s="161"/>
      <c r="E15" s="161" t="s">
        <v>827</v>
      </c>
      <c r="F15" s="161" t="s">
        <v>71</v>
      </c>
      <c r="G15" s="161" t="s">
        <v>1407</v>
      </c>
    </row>
    <row r="16" spans="2:7">
      <c r="B16" s="161" t="s">
        <v>1417</v>
      </c>
      <c r="C16" s="161">
        <v>258542</v>
      </c>
      <c r="D16" s="161" t="s">
        <v>1418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1419</v>
      </c>
      <c r="C17" s="161">
        <v>257050</v>
      </c>
      <c r="D17" s="161" t="s">
        <v>1420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1421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1422</v>
      </c>
      <c r="D4" s="163" t="s">
        <v>1423</v>
      </c>
      <c r="E4" s="163" t="s">
        <v>1424</v>
      </c>
      <c r="F4" s="160" t="s">
        <v>1425</v>
      </c>
      <c r="G4" s="163" t="s">
        <v>1426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1427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1428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1427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1427</v>
      </c>
      <c r="G9" s="167"/>
    </row>
    <row r="10" spans="2:7" ht="19.5" customHeight="1">
      <c r="B10" s="167" t="s">
        <v>1429</v>
      </c>
      <c r="C10" s="167">
        <v>9038</v>
      </c>
      <c r="D10" s="168">
        <v>46063</v>
      </c>
      <c r="E10" s="167">
        <v>11450</v>
      </c>
      <c r="F10" s="169" t="s">
        <v>1430</v>
      </c>
      <c r="G10" s="167"/>
    </row>
    <row r="11" spans="2:7" ht="19.5" customHeight="1">
      <c r="B11" s="167" t="s">
        <v>744</v>
      </c>
      <c r="C11" s="167" t="s">
        <v>1431</v>
      </c>
      <c r="D11" s="168">
        <v>46056</v>
      </c>
      <c r="E11" s="167">
        <v>9100</v>
      </c>
      <c r="F11" s="169" t="s">
        <v>1432</v>
      </c>
      <c r="G11" s="167" t="s">
        <v>1433</v>
      </c>
    </row>
    <row r="12" spans="2:7" ht="19.5" customHeight="1">
      <c r="B12" s="167" t="s">
        <v>744</v>
      </c>
      <c r="C12" s="167" t="s">
        <v>1434</v>
      </c>
      <c r="D12" s="168">
        <v>46058</v>
      </c>
      <c r="E12" s="167">
        <v>12000</v>
      </c>
      <c r="F12" s="169" t="s">
        <v>1427</v>
      </c>
      <c r="G12" s="167"/>
    </row>
    <row r="13" spans="2:7" ht="19.5" customHeight="1">
      <c r="B13" s="167" t="s">
        <v>744</v>
      </c>
      <c r="C13" s="167" t="s">
        <v>1435</v>
      </c>
      <c r="D13" s="168">
        <v>46058</v>
      </c>
      <c r="E13" s="167">
        <v>12000</v>
      </c>
      <c r="F13" s="169" t="s">
        <v>1427</v>
      </c>
      <c r="G13" s="167"/>
    </row>
    <row r="14" spans="2:7" ht="19.5" customHeight="1">
      <c r="B14" s="167" t="s">
        <v>744</v>
      </c>
      <c r="C14" s="167" t="s">
        <v>1436</v>
      </c>
      <c r="D14" s="168">
        <v>46058</v>
      </c>
      <c r="E14" s="167">
        <v>13800</v>
      </c>
      <c r="F14" s="169" t="s">
        <v>1427</v>
      </c>
      <c r="G14" s="167" t="s">
        <v>1437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1438</v>
      </c>
      <c r="D5" s="216"/>
      <c r="E5" s="216"/>
      <c r="F5" s="216"/>
      <c r="G5" s="216"/>
      <c r="H5" s="216"/>
      <c r="I5" s="216"/>
      <c r="J5" s="217"/>
      <c r="K5" s="218" t="s">
        <v>1439</v>
      </c>
      <c r="L5" s="219"/>
      <c r="M5" s="219"/>
      <c r="N5" s="219"/>
      <c r="O5" s="220" t="s">
        <v>1440</v>
      </c>
      <c r="P5" s="221"/>
    </row>
    <row r="6" spans="1:16" s="74" customFormat="1" ht="15" customHeight="1">
      <c r="A6" s="66" t="s">
        <v>1441</v>
      </c>
      <c r="B6" s="75" t="s">
        <v>1442</v>
      </c>
      <c r="C6" s="76" t="s">
        <v>992</v>
      </c>
      <c r="D6" s="77" t="s">
        <v>993</v>
      </c>
      <c r="E6" s="76" t="s">
        <v>1443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1444</v>
      </c>
      <c r="M6" s="80" t="s">
        <v>611</v>
      </c>
      <c r="N6" s="81" t="s">
        <v>987</v>
      </c>
      <c r="O6" s="158" t="s">
        <v>1030</v>
      </c>
      <c r="P6" s="133" t="s">
        <v>1445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1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1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1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1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0</v>
      </c>
      <c r="P251" s="147" t="str">
        <f>IF($A$2=1,IF(SP_SUL!BJ251="","*",SP_SUL!BJ251),IF(SP_SUL!BK251="","*",SP_SUL!BK251))</f>
        <v>Cancelado CCO / Priorização da circulação de trens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0.16666666666666666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SP SUL</v>
      </c>
      <c r="D260" s="83" t="str">
        <f>IF(SP_SUL!T260="","*",SP_SUL!T260)</f>
        <v>ZBV-ZKE</v>
      </c>
      <c r="E260" s="83" t="str">
        <f>IF(SP_SUL!D260="","*",SP_SUL!D260)</f>
        <v>*</v>
      </c>
      <c r="F260" s="83" t="str">
        <f>IF(SP_SUL!H260="","*",SP_SUL!H260)</f>
        <v>-</v>
      </c>
      <c r="G260" s="83" t="str">
        <f>IF(SP_SUL!M260="","*",SP_SUL!M260)</f>
        <v>ZDS-ZQB</v>
      </c>
      <c r="H260" s="116">
        <f>IF(SP_SUL!K260="","*",SP_SUL!K260)</f>
        <v>243.3</v>
      </c>
      <c r="I260" s="113">
        <f>IF(SP_SUL!O260="","*",SP_SUL!O260)</f>
        <v>0.39583333333333331</v>
      </c>
      <c r="J260" s="113">
        <f>IF(SP_SUL!P260="","*",SP_SUL!P260)</f>
        <v>8.3333333333333329E-2</v>
      </c>
      <c r="K260" s="83" t="str">
        <f>IF(SP_SUL!AK260="","*",SP_SUL!AK260)</f>
        <v>-</v>
      </c>
      <c r="L260" s="83" t="str">
        <f>IF(SP_SUL!AM260="","*",SP_SUL!AM260)</f>
        <v>ZDS-ZQB</v>
      </c>
      <c r="M260" s="83">
        <f>IF(SP_SUL!AP260="","*",SP_SUL!AP260)</f>
        <v>243.3</v>
      </c>
      <c r="N260" s="83" t="str">
        <f>IF(SP_SUL!AM260="","*",SP_SUL!AM260)</f>
        <v>ZDS-ZQB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Contrato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8.3333333333333329E-2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46064</v>
      </c>
      <c r="B263" s="83" t="str">
        <f>IF(SP_SUL!X263="","*",SP_SUL!X263)</f>
        <v>Contrato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46064</v>
      </c>
      <c r="B264" s="83" t="str">
        <f>IF(SP_SUL!X264="","*",SP_SUL!X264)</f>
        <v>Contrato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*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>
        <f>IF(SP_SUL!B266="","*",SP_SUL!B266)</f>
        <v>46064</v>
      </c>
      <c r="B266" s="83" t="str">
        <f>IF(SP_SUL!X266="","*",SP_SUL!X266)</f>
        <v>*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EDSON (TP-780)</v>
      </c>
      <c r="F266" s="83" t="str">
        <f>IF(SP_SUL!H266="","*",SP_SUL!H266)</f>
        <v>-</v>
      </c>
      <c r="G266" s="83" t="str">
        <f>IF(SP_SUL!M266="","*",SP_SUL!M266)</f>
        <v>ZDS-ZQB</v>
      </c>
      <c r="H266" s="116">
        <f>IF(SP_SUL!K266="","*",SP_SUL!K266)</f>
        <v>243.3</v>
      </c>
      <c r="I266" s="113">
        <f>IF(SP_SUL!O266="","*",SP_SUL!O266)</f>
        <v>0.39583333333333331</v>
      </c>
      <c r="J266" s="113">
        <f>IF(SP_SUL!P266="","*",SP_SUL!P266)</f>
        <v>8.3333333333333329E-2</v>
      </c>
      <c r="K266" s="83" t="str">
        <f>IF(SP_SUL!AK266="","*",SP_SUL!AK266)</f>
        <v>-</v>
      </c>
      <c r="L266" s="83" t="str">
        <f>IF(SP_SUL!AM266="","*",SP_SUL!AM266)</f>
        <v>ZDS-ZQB</v>
      </c>
      <c r="M266" s="83">
        <f>IF(SP_SUL!AP266="","*",SP_SUL!AP266)</f>
        <v>243.3</v>
      </c>
      <c r="N266" s="83" t="str">
        <f>IF(SP_SUL!AM266="","*",SP_SUL!AM266)</f>
        <v>ZDS-ZQB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1446</v>
      </c>
      <c r="V1" s="227"/>
      <c r="W1" s="227"/>
    </row>
    <row r="2" spans="1:23" ht="15" customHeight="1">
      <c r="A2" s="87" t="s">
        <v>1447</v>
      </c>
      <c r="B2" s="87" t="s">
        <v>1442</v>
      </c>
      <c r="C2" s="87" t="s">
        <v>411</v>
      </c>
      <c r="D2" s="88" t="s">
        <v>992</v>
      </c>
      <c r="E2" s="88" t="s">
        <v>4</v>
      </c>
      <c r="F2" s="88" t="s">
        <v>1441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1448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 t="str">
        <f>IF(SP_SUL!B256="","*",SP_SUL!B256)</f>
        <v>*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 t="str">
        <f>IF(SP_SUL!B257="","*",SP_SUL!B257)</f>
        <v>*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>
        <f ca="1">_xlfn.XLOOKUP(G255&amp;$W$2,BS_CONTROLE[CHAVE],BS_CONTROLE[Quantidade_11],"-")</f>
        <v>88</v>
      </c>
    </row>
    <row r="256" spans="1:23" hidden="1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 t="str">
        <f>IF(SP_SUL!B259="","*",SP_SUL!B259)</f>
        <v>*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0.16666666666666666</v>
      </c>
      <c r="R256" s="145" t="str">
        <f>IF(SP_SUL!Q259="","*",CONCATENATE(SP_SUL!Q259," ",SP_SUL!R259))</f>
        <v>3120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ZBV-ZKE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-</v>
      </c>
      <c r="J257" s="145" t="str">
        <f>IF(SP_SUL!I260="","*",SP_SUL!I260)</f>
        <v>-</v>
      </c>
      <c r="K257" s="139" t="str">
        <f>IF(SP_SUL!M260="","*",SP_SUL!M260)</f>
        <v>ZDS-ZQB</v>
      </c>
      <c r="L257" s="139" t="str">
        <f>IF(SP_SUL!N260="","*",SP_SUL!N260)</f>
        <v>ZDS2482</v>
      </c>
      <c r="M257" s="140">
        <f>IF(SP_SUL!J260="","*",SP_SUL!J260)</f>
        <v>56</v>
      </c>
      <c r="N257" s="144">
        <f>IF(SP_SUL!K260="","*",SP_SUL!K260)</f>
        <v>243.3</v>
      </c>
      <c r="O257" s="144" t="str">
        <f>IF(SP_SUL!L260="","*",SP_SUL!L260)</f>
        <v>-</v>
      </c>
      <c r="P257" s="143">
        <f>IF(SP_SUL!O260="","*",SP_SUL!O260)</f>
        <v>0.39583333333333331</v>
      </c>
      <c r="Q257" s="143">
        <f>IF(SP_SUL!P260="","*",SP_SUL!P260)</f>
        <v>8.3333333333333329E-2</v>
      </c>
      <c r="R257" s="145" t="str">
        <f>IF(SP_SUL!Q260="","*",CONCATENATE(SP_SUL!Q260," ",SP_SUL!R260))</f>
        <v>40 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Contrato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8.3333333333333329E-2</v>
      </c>
      <c r="R259" s="145" t="str">
        <f>IF(SP_SUL!Q262="","*",CONCATENATE(SP_SUL!Q262," ",SP_SUL!R262))</f>
        <v>200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*</v>
      </c>
      <c r="B260" s="146" t="str">
        <f>IF(SP_SUL!X263="","*",SP_SUL!X263)</f>
        <v>Contrato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Contrato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46064</v>
      </c>
      <c r="G263" s="145" t="str">
        <f>IF(SP_SUL!D266="","*",SP_SUL!D266)</f>
        <v>EDSON (TP-780)</v>
      </c>
      <c r="H263" s="145" t="str">
        <f>IF(SP_SUL!F266="","*",SP_SUL!F266)</f>
        <v>PDM - SUBSTITUIÇÃO - DORMENTE</v>
      </c>
      <c r="I263" s="145" t="str">
        <f>IF(SP_SUL!H266="","*",SP_SUL!H266)</f>
        <v>-</v>
      </c>
      <c r="J263" s="145" t="str">
        <f>IF(SP_SUL!I266="","*",SP_SUL!I266)</f>
        <v>-</v>
      </c>
      <c r="K263" s="139" t="str">
        <f>IF(SP_SUL!M266="","*",SP_SUL!M266)</f>
        <v>ZDS-ZQB</v>
      </c>
      <c r="L263" s="139" t="str">
        <f>IF(SP_SUL!N266="","*",SP_SUL!N266)</f>
        <v>ZDS2482</v>
      </c>
      <c r="M263" s="140">
        <f>IF(SP_SUL!J266="","*",SP_SUL!J266)</f>
        <v>56</v>
      </c>
      <c r="N263" s="144">
        <f>IF(SP_SUL!K266="","*",SP_SUL!K266)</f>
        <v>243.3</v>
      </c>
      <c r="O263" s="144" t="str">
        <f>IF(SP_SUL!L266="","*",SP_SUL!L266)</f>
        <v>-</v>
      </c>
      <c r="P263" s="143">
        <f>IF(SP_SUL!O266="","*",SP_SUL!O266)</f>
        <v>0.39583333333333331</v>
      </c>
      <c r="Q263" s="143">
        <f>IF(SP_SUL!P266="","*",SP_SUL!P266)</f>
        <v>8.3333333333333329E-2</v>
      </c>
      <c r="R263" s="145" t="str">
        <f>IF(SP_SUL!Q266="","*",CONCATENATE(SP_SUL!Q266," ",SP_SUL!R266))</f>
        <v>40 Nº DE DORMENTES</v>
      </c>
      <c r="S263" s="145" t="str">
        <f>IF(SP_SUL!V266="","*",SP_SUL!V266)</f>
        <v>*</v>
      </c>
      <c r="T263" s="145" t="str">
        <f>IF(SP_SUL!W266="","*",SP_SUL!W266)</f>
        <v>*</v>
      </c>
      <c r="U263" s="137">
        <f ca="1">_xlfn.XLOOKUP(G263&amp;$U$2,BS_CONTROLE[CHAVE],BS_CONTROLE[Quantidade_11],"-")</f>
        <v>0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1449</v>
      </c>
      <c r="C2" s="121" t="s">
        <v>977</v>
      </c>
      <c r="D2" s="76" t="s">
        <v>979</v>
      </c>
      <c r="E2" s="76" t="s">
        <v>1450</v>
      </c>
      <c r="F2" s="99" t="s">
        <v>1451</v>
      </c>
      <c r="G2" s="76" t="s">
        <v>1452</v>
      </c>
      <c r="H2" s="76" t="s">
        <v>1453</v>
      </c>
      <c r="I2" s="76" t="s">
        <v>1454</v>
      </c>
      <c r="J2" s="76" t="s">
        <v>1455</v>
      </c>
      <c r="K2" s="78" t="s">
        <v>1456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-</v>
      </c>
      <c r="F256" s="100" t="str">
        <f>IF(SP_SUL!M260="","*",SP_SUL!M260)</f>
        <v>ZDS-ZQB</v>
      </c>
      <c r="G256" s="95" t="str">
        <f>IF(SP_SUL!I260="","*",SP_SUL!I260)</f>
        <v>-</v>
      </c>
      <c r="H256" s="95" t="str">
        <f>IF(SP_SUL!AB260="","*",SP_SUL!AB260)</f>
        <v>FIXO</v>
      </c>
      <c r="I256" s="95" t="str">
        <f>IF(SP_SUL!AC260="","*",SP_SUL!AC260)</f>
        <v>*</v>
      </c>
      <c r="J256" s="96">
        <f>IF(SP_SUL!AA260="","*",SP_SUL!AA260)</f>
        <v>1</v>
      </c>
      <c r="K256" s="97">
        <f>IF(SP_SUL!AD260="","*",SP_SUL!AD260)</f>
        <v>0.29166666666666669</v>
      </c>
    </row>
    <row r="257" spans="2:11" hidden="1">
      <c r="B257" s="94" t="str">
        <f>IF(SP_SUL!Y261="","*",SP_SUL!Y261)</f>
        <v>*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ESCALA</v>
      </c>
      <c r="I257" s="95" t="str">
        <f>IF(SP_SUL!AC261="","*",SP_SUL!AC261)</f>
        <v>*</v>
      </c>
      <c r="J257" s="96">
        <f>IF(SP_SUL!AA261="","*",SP_SUL!AA261)</f>
        <v>1</v>
      </c>
      <c r="K257" s="97">
        <f>IF(SP_SUL!AD261="","*",SP_SUL!AD261)</f>
        <v>0.29166666666666669</v>
      </c>
    </row>
    <row r="258" spans="2:11" hidden="1">
      <c r="B258" s="94" t="str">
        <f>IF(SP_SUL!Y262="","*",SP_SUL!Y262)</f>
        <v>*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-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*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>
        <f>IF(SP_SUL!B266="","*",SP_SUL!B266)</f>
        <v>46064</v>
      </c>
      <c r="D262" s="94" t="str">
        <f>IF(SP_SUL!D266="","*",SP_SUL!D266)</f>
        <v>EDSON (TP-780)</v>
      </c>
      <c r="E262" s="94" t="str">
        <f>IF(SP_SUL!H266="","*",SP_SUL!H266)</f>
        <v>-</v>
      </c>
      <c r="F262" s="100" t="str">
        <f>IF(SP_SUL!M266="","*",SP_SUL!M266)</f>
        <v>ZDS-ZQB</v>
      </c>
      <c r="G262" s="95" t="str">
        <f>IF(SP_SUL!I266="","*",SP_SUL!I266)</f>
        <v>-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2026-02-10T15:19:17Z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