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087" documentId="120_S{118792C3-22EF-5104-A093-F22BFE3913F3}" xr6:coauthVersionLast="47" xr6:coauthVersionMax="47" xr10:uidLastSave="{68BED5D1-3773-4DAD-BC51-4814E5D3CE6C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CONTROLE - MAQUINISTAS" sheetId="12" r:id="rId7"/>
    <sheet name="Diesel" sheetId="14" r:id="rId8"/>
    <sheet name="CONTROLE D" sheetId="10" r:id="rId9"/>
    <sheet name="CONTROLE D+1" sheetId="15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8" hidden="1">'CONTROLE D'!$A$6:$P$8</definedName>
    <definedName name="_xlnm._FilterDatabase" localSheetId="6" hidden="1">'CONTROLE - MAQUINISTAS'!$B$2:$K$1050</definedName>
    <definedName name="_xlnm._FilterDatabase" localSheetId="9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30" i="1" l="1" a="1"/>
  <c r="U430" i="1" s="1"/>
  <c r="T430" i="1" a="1"/>
  <c r="T430" i="1" s="1"/>
  <c r="S430" i="1" a="1"/>
  <c r="S430" i="1" s="1"/>
  <c r="R430" i="1"/>
  <c r="N430" i="1" a="1"/>
  <c r="N430" i="1" s="1"/>
  <c r="M430" i="1" a="1"/>
  <c r="M430" i="1" s="1"/>
  <c r="G430" i="1"/>
  <c r="U428" i="1" a="1"/>
  <c r="U428" i="1" s="1"/>
  <c r="T428" i="1" a="1"/>
  <c r="T428" i="1" s="1"/>
  <c r="S428" i="1" a="1"/>
  <c r="S428" i="1" s="1"/>
  <c r="R428" i="1"/>
  <c r="N428" i="1" a="1"/>
  <c r="N428" i="1" s="1"/>
  <c r="M428" i="1" a="1"/>
  <c r="M428" i="1" s="1"/>
  <c r="G428" i="1"/>
  <c r="U427" i="1" a="1"/>
  <c r="U427" i="1" s="1"/>
  <c r="T427" i="1" a="1"/>
  <c r="T427" i="1" s="1"/>
  <c r="S427" i="1" a="1"/>
  <c r="S427" i="1" s="1"/>
  <c r="R427" i="1"/>
  <c r="N427" i="1" a="1"/>
  <c r="N427" i="1" s="1"/>
  <c r="M427" i="1" a="1"/>
  <c r="M427" i="1" s="1"/>
  <c r="U423" i="1" a="1"/>
  <c r="U423" i="1" s="1"/>
  <c r="T423" i="1" a="1"/>
  <c r="T423" i="1" s="1"/>
  <c r="S423" i="1" a="1"/>
  <c r="S423" i="1" s="1"/>
  <c r="R423" i="1"/>
  <c r="N423" i="1" a="1"/>
  <c r="N423" i="1" s="1"/>
  <c r="M423" i="1" a="1"/>
  <c r="M423" i="1" s="1"/>
  <c r="G423" i="1"/>
  <c r="U422" i="1" a="1"/>
  <c r="U422" i="1" s="1"/>
  <c r="T422" i="1" a="1"/>
  <c r="T422" i="1" s="1"/>
  <c r="S422" i="1" a="1"/>
  <c r="S422" i="1" s="1"/>
  <c r="R422" i="1"/>
  <c r="M422" i="1" a="1"/>
  <c r="M422" i="1" s="1"/>
  <c r="G422" i="1"/>
  <c r="U401" i="1" a="1"/>
  <c r="U401" i="1" s="1"/>
  <c r="T401" i="1" a="1"/>
  <c r="T401" i="1" s="1"/>
  <c r="S401" i="1" a="1"/>
  <c r="S401" i="1" s="1"/>
  <c r="R401" i="1"/>
  <c r="M401" i="1" a="1"/>
  <c r="M401" i="1" s="1"/>
  <c r="G401" i="1"/>
  <c r="N416" i="1" a="1"/>
  <c r="N416" i="1" s="1"/>
  <c r="M416" i="1" a="1"/>
  <c r="M416" i="1" s="1"/>
  <c r="U414" i="1" a="1"/>
  <c r="U414" i="1" s="1"/>
  <c r="T414" i="1" a="1"/>
  <c r="T414" i="1" s="1"/>
  <c r="S414" i="1" a="1"/>
  <c r="S414" i="1" s="1"/>
  <c r="R414" i="1"/>
  <c r="N414" i="1" a="1"/>
  <c r="N414" i="1" s="1"/>
  <c r="M414" i="1" a="1"/>
  <c r="M414" i="1" s="1"/>
  <c r="G414" i="1"/>
  <c r="U413" i="1" a="1"/>
  <c r="U413" i="1" s="1"/>
  <c r="T413" i="1" a="1"/>
  <c r="T413" i="1" s="1"/>
  <c r="S413" i="1" a="1"/>
  <c r="S413" i="1" s="1"/>
  <c r="R413" i="1"/>
  <c r="N413" i="1" a="1"/>
  <c r="N413" i="1" s="1"/>
  <c r="M413" i="1" a="1"/>
  <c r="M413" i="1" s="1"/>
  <c r="G413" i="1"/>
  <c r="U412" i="1" a="1"/>
  <c r="U412" i="1" s="1"/>
  <c r="T412" i="1" a="1"/>
  <c r="T412" i="1" s="1"/>
  <c r="S412" i="1" a="1"/>
  <c r="S412" i="1" s="1"/>
  <c r="R412" i="1"/>
  <c r="N412" i="1" a="1"/>
  <c r="N412" i="1" s="1"/>
  <c r="M412" i="1" a="1"/>
  <c r="M412" i="1" s="1"/>
  <c r="G412" i="1"/>
  <c r="N411" i="1" a="1"/>
  <c r="N411" i="1" s="1"/>
  <c r="M411" i="1" a="1"/>
  <c r="M411" i="1" s="1"/>
  <c r="G411" i="1"/>
  <c r="U409" i="1" a="1"/>
  <c r="U409" i="1" s="1"/>
  <c r="T409" i="1" a="1"/>
  <c r="T409" i="1" s="1"/>
  <c r="S409" i="1" a="1"/>
  <c r="S409" i="1" s="1"/>
  <c r="R409" i="1"/>
  <c r="N409" i="1" a="1"/>
  <c r="N409" i="1" s="1"/>
  <c r="M409" i="1" a="1"/>
  <c r="M409" i="1" s="1"/>
  <c r="G409" i="1"/>
  <c r="U408" i="1" a="1"/>
  <c r="U408" i="1" s="1"/>
  <c r="T408" i="1" a="1"/>
  <c r="T408" i="1" s="1"/>
  <c r="S408" i="1" a="1"/>
  <c r="S408" i="1" s="1"/>
  <c r="R408" i="1"/>
  <c r="N408" i="1" a="1"/>
  <c r="N408" i="1" s="1"/>
  <c r="M408" i="1" a="1"/>
  <c r="M408" i="1" s="1"/>
  <c r="H408" i="1" a="1"/>
  <c r="H408" i="1" s="1"/>
  <c r="G408" i="1"/>
  <c r="U407" i="1" a="1"/>
  <c r="U407" i="1" s="1"/>
  <c r="T407" i="1" a="1"/>
  <c r="T407" i="1" s="1"/>
  <c r="S407" i="1" a="1"/>
  <c r="S407" i="1" s="1"/>
  <c r="R407" i="1"/>
  <c r="M407" i="1" a="1"/>
  <c r="M407" i="1" s="1"/>
  <c r="G407" i="1"/>
  <c r="U406" i="1" a="1"/>
  <c r="U406" i="1" s="1"/>
  <c r="T406" i="1" a="1"/>
  <c r="T406" i="1" s="1"/>
  <c r="S406" i="1" a="1"/>
  <c r="S406" i="1" s="1"/>
  <c r="R406" i="1"/>
  <c r="N406" i="1" a="1"/>
  <c r="N406" i="1" s="1"/>
  <c r="M406" i="1" a="1"/>
  <c r="M406" i="1" s="1"/>
  <c r="H406" i="1" a="1"/>
  <c r="H406" i="1" s="1"/>
  <c r="G406" i="1"/>
  <c r="U405" i="1" a="1"/>
  <c r="U405" i="1" s="1"/>
  <c r="T405" i="1" a="1"/>
  <c r="T405" i="1" s="1"/>
  <c r="S405" i="1" a="1"/>
  <c r="S405" i="1" s="1"/>
  <c r="R405" i="1"/>
  <c r="N405" i="1" a="1"/>
  <c r="N405" i="1" s="1"/>
  <c r="M405" i="1" a="1"/>
  <c r="M405" i="1" s="1"/>
  <c r="G405" i="1"/>
  <c r="U404" i="1" a="1"/>
  <c r="U404" i="1" s="1"/>
  <c r="T404" i="1" a="1"/>
  <c r="T404" i="1" s="1"/>
  <c r="S404" i="1" a="1"/>
  <c r="S404" i="1" s="1"/>
  <c r="R404" i="1"/>
  <c r="N404" i="1" a="1"/>
  <c r="N404" i="1" s="1"/>
  <c r="M404" i="1" a="1"/>
  <c r="M404" i="1" s="1"/>
  <c r="G404" i="1"/>
  <c r="U403" i="1" a="1"/>
  <c r="U403" i="1" s="1"/>
  <c r="T403" i="1" a="1"/>
  <c r="T403" i="1" s="1"/>
  <c r="S403" i="1" a="1"/>
  <c r="S403" i="1" s="1"/>
  <c r="R403" i="1"/>
  <c r="N403" i="1" a="1"/>
  <c r="N403" i="1" s="1"/>
  <c r="M403" i="1" a="1"/>
  <c r="M403" i="1" s="1"/>
  <c r="G403" i="1"/>
  <c r="N400" i="1" a="1"/>
  <c r="N400" i="1" s="1"/>
  <c r="M400" i="1" a="1"/>
  <c r="M400" i="1" s="1"/>
  <c r="N399" i="1" a="1"/>
  <c r="N399" i="1" s="1"/>
  <c r="M399" i="1" a="1"/>
  <c r="M399" i="1" s="1"/>
  <c r="C347" i="1"/>
  <c r="C348" i="1"/>
  <c r="A11" i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 s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 s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AQ769" i="1"/>
  <c r="BB769" i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AQ19" i="1"/>
  <c r="BB19" i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 s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 s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AQ774" i="1"/>
  <c r="BB774" i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BB9" i="1" s="1"/>
  <c r="AJ9" i="1"/>
  <c r="AK9" i="1"/>
  <c r="AL9" i="1"/>
  <c r="AM9" i="1"/>
  <c r="AN9" i="1"/>
  <c r="AO9" i="1"/>
  <c r="BD9" i="1" s="1" a="1"/>
  <c r="BD9" i="1" s="1"/>
  <c r="AQ9" i="1"/>
  <c r="BE9" i="1" a="1"/>
  <c r="BE9" i="1" s="1"/>
  <c r="BR9" i="1"/>
  <c r="BS9" i="1"/>
  <c r="BT13" i="1"/>
  <c r="A10" i="1"/>
  <c r="C10" i="1"/>
  <c r="G10" i="1"/>
  <c r="R10" i="1"/>
  <c r="S10" i="1" a="1"/>
  <c r="S10" i="1" s="1"/>
  <c r="T10" i="1" a="1"/>
  <c r="T10" i="1" s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AQ10" i="1"/>
  <c r="BB10" i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AQ20" i="1"/>
  <c r="BB20" i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K396" i="15"/>
  <c r="L396" i="15"/>
  <c r="R399" i="1"/>
  <c r="R396" i="15" s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K398" i="15"/>
  <c r="L398" i="15"/>
  <c r="D398" i="15"/>
  <c r="E398" i="15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K400" i="15"/>
  <c r="L400" i="15"/>
  <c r="D400" i="15"/>
  <c r="E400" i="15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K401" i="15"/>
  <c r="L401" i="15"/>
  <c r="D401" i="15"/>
  <c r="E401" i="15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K402" i="15"/>
  <c r="L402" i="15"/>
  <c r="D402" i="15"/>
  <c r="E402" i="15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K403" i="15"/>
  <c r="L403" i="15"/>
  <c r="D403" i="15"/>
  <c r="E403" i="15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K404" i="15"/>
  <c r="L404" i="15"/>
  <c r="D404" i="15"/>
  <c r="E404" i="15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K405" i="15"/>
  <c r="L405" i="15"/>
  <c r="D405" i="15"/>
  <c r="E405" i="15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K406" i="15"/>
  <c r="L406" i="15"/>
  <c r="D406" i="15"/>
  <c r="E406" i="15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K409" i="15"/>
  <c r="L409" i="15"/>
  <c r="D409" i="15"/>
  <c r="E409" i="15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K410" i="15"/>
  <c r="L410" i="15"/>
  <c r="D410" i="15"/>
  <c r="E410" i="15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K411" i="15"/>
  <c r="L411" i="15"/>
  <c r="D411" i="15"/>
  <c r="E411" i="15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R412" i="15" s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K413" i="15"/>
  <c r="L413" i="15"/>
  <c r="R416" i="1"/>
  <c r="R413" i="15" s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K419" i="15"/>
  <c r="L419" i="15"/>
  <c r="D419" i="15"/>
  <c r="E419" i="15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K420" i="15"/>
  <c r="L420" i="15"/>
  <c r="D420" i="15"/>
  <c r="E420" i="15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K423" i="15"/>
  <c r="L423" i="15"/>
  <c r="R426" i="1"/>
  <c r="R423" i="15" s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K424" i="15"/>
  <c r="L424" i="15"/>
  <c r="D424" i="15"/>
  <c r="E424" i="15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K425" i="15"/>
  <c r="L425" i="15"/>
  <c r="D425" i="15"/>
  <c r="E425" i="15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K427" i="15"/>
  <c r="L427" i="15"/>
  <c r="D427" i="15"/>
  <c r="E427" i="15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9" i="1" l="1" a="1"/>
  <c r="BC19" i="1" s="1"/>
  <c r="BD19" i="1" a="1"/>
  <c r="BD19" i="1" s="1"/>
  <c r="BC769" i="1" a="1"/>
  <c r="BC769" i="1" s="1"/>
  <c r="BD769" i="1" a="1"/>
  <c r="BD769" i="1" s="1"/>
  <c r="BC9" i="1" a="1"/>
  <c r="BC9" i="1" s="1"/>
  <c r="BC20" i="1" a="1"/>
  <c r="BC20" i="1" s="1"/>
  <c r="BD20" i="1" a="1"/>
  <c r="BD20" i="1" s="1"/>
  <c r="BC10" i="1" a="1"/>
  <c r="BC10" i="1" s="1"/>
  <c r="BD10" i="1" a="1"/>
  <c r="BD10" i="1" s="1"/>
  <c r="BC774" i="1" a="1"/>
  <c r="BC774" i="1" s="1"/>
  <c r="BD774" i="1" a="1"/>
  <c r="BD774" i="1" s="1"/>
  <c r="R74" i="15"/>
  <c r="R157" i="15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<sst xmlns="http://schemas.openxmlformats.org/spreadsheetml/2006/main" count="8432" uniqueCount="1624">
  <si>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</si>
  <si>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</si>
  <si>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</si>
  <si>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</si>
  <si>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</si>
  <si>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</si>
  <si>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</si>
  <si>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</si>
  <si>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</si>
  <si>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</si>
  <si>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</si>
  <si>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</si>
  <si>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</si>
  <si>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</si>
  <si>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</si>
  <si>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</si>
  <si>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</si>
  <si>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</si>
  <si>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</si>
  <si>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</si>
  <si>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</si>
  <si>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</si>
  <si>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</si>
  <si>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</si>
  <si>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</si>
  <si>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</si>
  <si>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</si>
  <si>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</si>
  <si>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</si>
  <si>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</si>
  <si>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</si>
  <si>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</si>
  <si>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</si>
  <si>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</si>
  <si>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</si>
  <si>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</si>
  <si>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</si>
  <si>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</si>
  <si>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</si>
  <si>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</si>
  <si>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</si>
  <si>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</si>
  <si>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</si>
  <si>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</si>
  <si>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</si>
  <si>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</si>
  <si>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</si>
  <si>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</si>
  <si>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</si>
  <si>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</si>
  <si>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</si>
  <si>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</si>
  <si>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</si>
  <si>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</si>
  <si>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</si>
  <si>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</si>
  <si>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</si>
  <si>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</si>
  <si>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</si>
  <si>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</si>
  <si>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</si>
  <si>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</si>
  <si>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</si>
  <si>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</si>
  <si>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</si>
  <si>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</si>
  <si>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</si>
  <si>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</si>
  <si>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</si>
  <si>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</si>
  <si>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</si>
  <si>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</si>
  <si>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</si>
  <si>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</si>
  <si>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</si>
  <si>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</si>
  <si>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</si>
  <si>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</si>
  <si>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</si>
  <si>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</si>
  <si>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</si>
  <si>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</si>
  <si>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</si>
  <si>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</si>
  <si>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</si>
  <si>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</si>
  <si>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</si>
  <si>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</si>
  <si>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</si>
  <si>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</si>
  <si>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</si>
  <si>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</si>
  <si>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</si>
  <si>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</si>
  <si>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</si>
  <si>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</si>
  <si>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</si>
  <si>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</si>
  <si>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</si>
  <si>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</si>
  <si>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</si>
  <si>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</si>
  <si>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</si>
  <si>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</si>
  <si>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</si>
  <si>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</si>
  <si>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</si>
  <si>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</si>
  <si>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</si>
  <si>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</si>
  <si>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</si>
  <si>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</si>
  <si>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</si>
  <si>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</si>
  <si>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</si>
  <si>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</si>
  <si>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</si>
  <si>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</si>
  <si>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</si>
  <si>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</si>
  <si>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</si>
  <si>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</si>
  <si>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</si>
  <si>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</si>
  <si>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</si>
  <si>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</si>
  <si>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</si>
  <si>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</si>
  <si>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</si>
  <si>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</si>
  <si>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</si>
  <si>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</si>
  <si>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</si>
  <si>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</si>
  <si>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</si>
  <si>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</si>
  <si>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</si>
  <si>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</si>
  <si>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</si>
  <si>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</si>
  <si>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</si>
  <si>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</si>
  <si>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</si>
  <si>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</si>
  <si>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</si>
  <si>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</si>
  <si>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</si>
  <si>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</si>
  <si>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</si>
  <si>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</si>
  <si>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</si>
  <si>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</si>
  <si>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</si>
  <si>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</si>
  <si>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</si>
  <si>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</si>
  <si>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</si>
  <si>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</si>
  <si>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</si>
  <si>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</si>
  <si>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</si>
  <si>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</si>
  <si>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</si>
  <si>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</si>
  <si>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</si>
  <si>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</si>
  <si>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</si>
  <si>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</si>
  <si>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</si>
  <si>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</si>
  <si>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</si>
  <si>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</si>
  <si>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</si>
  <si>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</si>
  <si>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</si>
  <si>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</si>
  <si>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</si>
  <si>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</si>
  <si>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</si>
  <si>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</si>
  <si>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</si>
  <si>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</si>
  <si>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</si>
  <si>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</si>
  <si>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</si>
  <si>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</si>
  <si>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</si>
  <si>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</si>
  <si>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</si>
  <si>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</si>
  <si>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</si>
  <si>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</si>
  <si>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</si>
  <si>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</si>
  <si>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</si>
  <si>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</si>
  <si>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</si>
  <si>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</si>
  <si>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</si>
  <si>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</si>
  <si>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</si>
  <si>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</si>
  <si>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</si>
  <si>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</si>
  <si>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</si>
  <si>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</si>
  <si>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</si>
  <si>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</si>
  <si>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</si>
  <si>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</si>
  <si>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</si>
  <si>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</si>
  <si>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</si>
  <si>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</si>
  <si>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</si>
  <si>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</si>
  <si>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</si>
  <si>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</si>
  <si>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</si>
  <si>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</si>
  <si>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</si>
  <si>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</si>
  <si>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</si>
  <si>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</si>
  <si>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</si>
  <si>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</si>
  <si>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</si>
  <si>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</si>
  <si>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</si>
  <si>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</si>
  <si>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</si>
  <si>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</si>
  <si>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</si>
  <si>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</si>
  <si>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</si>
  <si>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</si>
  <si>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</si>
  <si>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</si>
  <si>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</si>
  <si>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</si>
  <si>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</si>
  <si>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</si>
  <si>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</si>
  <si>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</si>
  <si>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</si>
  <si>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</si>
  <si>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</si>
  <si>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</si>
  <si>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</si>
  <si>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</si>
  <si>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</si>
  <si>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</si>
  <si>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</si>
  <si>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</si>
  <si>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</si>
  <si>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</si>
  <si>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</si>
  <si>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</si>
  <si>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</si>
  <si>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</si>
  <si>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</si>
  <si>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</si>
  <si>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</si>
  <si>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</si>
  <si>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</si>
  <si>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</si>
  <si>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</si>
  <si>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</si>
  <si>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</si>
  <si>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</si>
  <si>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</si>
  <si>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</si>
  <si>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</si>
  <si>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</si>
  <si>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</si>
  <si>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</si>
  <si>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</si>
  <si>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</si>
  <si>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</si>
  <si>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</si>
  <si>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</si>
  <si>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</si>
  <si>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</si>
  <si>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</si>
  <si>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</si>
  <si>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</si>
  <si>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</si>
  <si>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</si>
  <si>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</si>
  <si>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</si>
  <si>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</si>
  <si>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</si>
  <si>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</si>
  <si>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</si>
  <si>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</si>
  <si>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</si>
  <si>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</si>
  <si>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</si>
  <si>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</si>
  <si>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</si>
  <si>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</si>
  <si>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</si>
  <si>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</si>
  <si>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</si>
  <si>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</si>
  <si>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</si>
  <si>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</si>
  <si>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</si>
  <si>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</si>
  <si>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</si>
  <si>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</si>
  <si>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</si>
  <si>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</si>
  <si>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</si>
  <si>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</si>
  <si>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</si>
  <si>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</si>
  <si>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</si>
  <si>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</si>
  <si>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</si>
  <si>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</si>
  <si>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</si>
  <si>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</si>
  <si>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</si>
  <si>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</si>
  <si>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</si>
  <si>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</si>
  <si>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</si>
  <si>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</si>
  <si>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</si>
  <si>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</si>
  <si>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</si>
  <si>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</si>
  <si>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</si>
  <si>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</si>
  <si>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</si>
  <si>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</si>
  <si>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</si>
  <si>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</si>
  <si>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</si>
  <si>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</si>
  <si>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</si>
  <si>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</si>
  <si>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</si>
  <si>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</si>
  <si>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</si>
  <si>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</si>
  <si>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</si>
  <si>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</si>
  <si>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</si>
  <si>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</si>
  <si>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</si>
  <si>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</si>
  <si>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</si>
  <si>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</si>
  <si>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</si>
  <si>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</si>
  <si>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</si>
  <si>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</si>
  <si>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</si>
  <si>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</si>
  <si>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</si>
  <si>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</si>
  <si>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</si>
  <si>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</si>
  <si>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</si>
  <si>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</si>
  <si>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</si>
  <si>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</si>
  <si>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</si>
  <si>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</si>
  <si>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</si>
  <si>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</si>
  <si>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</si>
  <si>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</si>
  <si>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</si>
  <si>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</si>
  <si>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</si>
  <si>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</si>
  <si>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</si>
  <si>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</si>
  <si>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</si>
  <si>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</si>
  <si>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</si>
  <si>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</si>
  <si>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</si>
  <si>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</si>
  <si>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</si>
  <si>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</si>
  <si>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</si>
  <si>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</si>
  <si>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</si>
  <si>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</si>
  <si>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</si>
  <si>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</si>
  <si>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</si>
  <si>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</si>
  <si>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</si>
  <si>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</si>
  <si>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</si>
  <si>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</si>
  <si>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</si>
  <si>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</si>
  <si>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</si>
  <si>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</si>
  <si>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</si>
  <si>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</si>
  <si>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</si>
  <si>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</si>
  <si>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</si>
  <si>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</si>
  <si>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</si>
  <si>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</si>
  <si>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</si>
  <si>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</si>
  <si>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</si>
  <si>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</si>
  <si>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</si>
  <si>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</si>
  <si>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</si>
  <si>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</si>
  <si>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</si>
  <si>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</si>
  <si>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</si>
  <si>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</si>
  <si>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</si>
  <si>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</si>
  <si>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</si>
  <si>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</si>
  <si>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</si>
  <si>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</si>
  <si>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</si>
  <si>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</si>
  <si>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</si>
  <si>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</si>
  <si>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</si>
  <si>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</si>
  <si>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</si>
  <si>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</si>
  <si>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</si>
  <si>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</si>
  <si>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</si>
  <si>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</si>
  <si>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</si>
  <si>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</si>
  <si>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</si>
  <si>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</si>
  <si>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</si>
  <si>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</si>
  <si>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</si>
  <si>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</si>
  <si>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</si>
  <si>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</si>
  <si>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</si>
  <si>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</si>
  <si>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</si>
  <si>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</si>
  <si>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</si>
  <si>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</si>
  <si>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</si>
  <si>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</si>
  <si>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</si>
  <si>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</si>
  <si>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</si>
  <si>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</si>
  <si>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</si>
  <si>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</si>
  <si>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</si>
  <si>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</si>
  <si>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</si>
  <si>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</si>
  <si>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</si>
  <si>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</si>
  <si>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</si>
  <si>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</si>
  <si>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</si>
  <si>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</si>
  <si>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</si>
  <si>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</si>
  <si>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</si>
  <si>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</si>
  <si>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</si>
  <si>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</si>
  <si>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</si>
  <si>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</si>
  <si>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</si>
  <si>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</si>
  <si>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</si>
  <si>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</si>
  <si>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</si>
  <si>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</si>
  <si>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</si>
  <si>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</si>
  <si>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</si>
  <si>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</si>
  <si>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</si>
  <si>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</si>
  <si>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</si>
  <si>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</si>
  <si>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</si>
  <si>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</si>
  <si>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</si>
  <si>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</si>
  <si>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</si>
  <si>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</si>
  <si>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</si>
  <si>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</si>
  <si>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</si>
  <si>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</si>
  <si>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</si>
  <si>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</si>
  <si>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</si>
  <si>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</si>
  <si>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</si>
  <si>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</si>
  <si>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</si>
  <si>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</si>
  <si>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</si>
  <si>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</si>
  <si>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</si>
  <si>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</si>
  <si>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</si>
  <si>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</si>
  <si>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</si>
  <si>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</si>
  <si>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</si>
  <si>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</si>
  <si>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</si>
  <si>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</si>
  <si>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</si>
  <si>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</si>
  <si>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</si>
  <si>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</si>
  <si>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</si>
  <si>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</si>
  <si>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</si>
  <si>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</si>
  <si>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</si>
  <si>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</si>
  <si>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</si>
  <si>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</si>
  <si>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</si>
  <si>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</si>
  <si>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</si>
  <si>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</si>
  <si>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</si>
  <si>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</si>
  <si>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</si>
  <si>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</si>
  <si>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</si>
  <si>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</si>
  <si>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</si>
  <si>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</si>
  <si>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</si>
  <si>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</si>
  <si>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</si>
  <si>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</si>
  <si>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</si>
  <si>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</si>
  <si>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</si>
  <si>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</si>
  <si>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</si>
  <si>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</si>
  <si>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</si>
  <si>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</si>
  <si>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</si>
  <si>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</si>
  <si>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</si>
  <si>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</si>
  <si>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</si>
  <si>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</si>
  <si>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</si>
  <si>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</si>
  <si>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</si>
  <si>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</si>
  <si>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</si>
  <si>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</si>
  <si>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</si>
  <si>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</si>
  <si>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</si>
  <si>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</si>
  <si>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</si>
  <si>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</si>
  <si>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</si>
  <si>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</si>
  <si>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</si>
  <si>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</si>
  <si>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</si>
  <si>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</si>
  <si>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</si>
  <si>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</si>
  <si>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</si>
  <si>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</si>
  <si>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</si>
  <si>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</si>
  <si>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</si>
  <si>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</si>
  <si>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</si>
  <si>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</si>
  <si>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</si>
  <si>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</si>
  <si>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</si>
  <si>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</si>
  <si>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</si>
  <si>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</si>
  <si>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</si>
  <si>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</si>
  <si>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</si>
  <si>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</si>
  <si>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</si>
  <si>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</si>
  <si>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</si>
  <si>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</si>
  <si>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</si>
  <si>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</si>
  <si>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</si>
  <si>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</si>
  <si>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</si>
  <si>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</si>
  <si>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</si>
  <si>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</si>
  <si>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</si>
  <si>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</si>
  <si>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</si>
  <si>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</si>
  <si>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</si>
  <si>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</si>
  <si>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</si>
  <si>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</si>
  <si>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</si>
  <si>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</si>
  <si>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</si>
  <si>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</si>
  <si>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</si>
  <si>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</si>
  <si>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</si>
  <si>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</si>
  <si>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</si>
  <si>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</si>
  <si>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</si>
  <si>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</si>
  <si>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</si>
  <si>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</si>
  <si>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</si>
  <si>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</si>
  <si>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</si>
  <si>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</si>
  <si>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</si>
  <si>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</si>
  <si>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</si>
  <si>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</si>
  <si>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</si>
  <si>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</si>
  <si>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</si>
  <si>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</si>
  <si>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</si>
  <si>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</si>
  <si>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</si>
  <si>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</si>
  <si>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</si>
  <si>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</si>
  <si>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</si>
  <si>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</si>
  <si>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</si>
  <si>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</si>
  <si>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</si>
  <si>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</si>
  <si>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</si>
  <si>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</si>
  <si>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</si>
  <si>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</si>
  <si>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</si>
  <si>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</si>
  <si>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</si>
  <si>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</si>
  <si>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</si>
  <si>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</si>
  <si>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</si>
  <si>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</si>
  <si>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</si>
  <si>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</si>
  <si>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</si>
  <si>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</si>
  <si>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</si>
  <si>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</si>
  <si>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</si>
  <si>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</si>
  <si>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</si>
  <si>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</si>
  <si>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</si>
  <si>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</si>
  <si>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</si>
  <si>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</si>
  <si>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</si>
  <si>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</si>
  <si>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</si>
  <si>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</si>
  <si>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</si>
  <si>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</si>
  <si>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</si>
  <si>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</si>
  <si>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</si>
  <si>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</si>
  <si>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</si>
  <si>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</si>
  <si>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</si>
  <si>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</si>
  <si>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</si>
  <si>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</si>
  <si>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</si>
  <si>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</si>
  <si>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</si>
  <si>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</si>
  <si>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</si>
  <si>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</si>
  <si>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</si>
  <si>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</si>
  <si>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</si>
  <si>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</si>
  <si>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</si>
  <si>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</si>
  <si>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</si>
  <si>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</si>
  <si>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</si>
  <si>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</si>
  <si>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</si>
  <si>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</si>
  <si>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</si>
  <si>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</si>
  <si>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</si>
  <si>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</si>
  <si>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</si>
  <si>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</si>
  <si>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</si>
  <si>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</si>
  <si>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</si>
  <si>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</si>
  <si>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</si>
  <si>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</si>
  <si>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</si>
  <si>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</si>
  <si>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</si>
  <si>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</si>
  <si>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</si>
  <si>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</si>
  <si>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</si>
  <si>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</si>
  <si>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</si>
  <si>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</si>
  <si>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</si>
  <si>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</si>
  <si>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</si>
  <si>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</si>
  <si>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</si>
  <si>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</si>
  <si>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</si>
  <si>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</si>
  <si>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</si>
  <si>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</si>
  <si>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</si>
  <si>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</si>
  <si>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</si>
  <si>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</si>
  <si>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</si>
  <si>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</si>
  <si>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</si>
  <si>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</si>
  <si>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</si>
  <si>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</si>
  <si>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</si>
  <si>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</si>
  <si>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</si>
  <si>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</si>
  <si>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</si>
  <si>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</si>
  <si>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</si>
  <si>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</si>
  <si>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</si>
  <si>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</si>
  <si>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</si>
  <si>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</si>
  <si>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</si>
  <si>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</si>
  <si>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</si>
  <si>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</si>
  <si>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</si>
  <si>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</si>
  <si>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</si>
  <si>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</si>
  <si>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</si>
  <si>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</si>
  <si>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</si>
  <si>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</si>
  <si>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</si>
  <si>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</si>
  <si>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</si>
  <si>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</si>
  <si>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</si>
  <si>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</si>
  <si>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</si>
  <si>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</si>
  <si>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</si>
  <si>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</si>
  <si>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</si>
  <si>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</si>
  <si>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</si>
  <si>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</si>
  <si>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</si>
  <si>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</si>
  <si>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</si>
  <si>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</si>
  <si>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</si>
  <si>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</si>
  <si>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</si>
  <si>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</si>
  <si>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</si>
  <si>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</si>
  <si>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</si>
  <si>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</si>
  <si>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</si>
  <si>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</si>
  <si>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</si>
  <si>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</si>
  <si>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</si>
  <si>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</si>
  <si>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</si>
  <si>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</si>
  <si>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</si>
  <si>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</si>
  <si>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</si>
  <si>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</si>
  <si>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</si>
  <si>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</si>
  <si>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</si>
  <si>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</si>
  <si>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</si>
  <si>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</si>
  <si>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</si>
  <si>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</si>
  <si>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</si>
  <si>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</si>
  <si>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</si>
  <si>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</si>
  <si>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</si>
  <si>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</si>
  <si>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</si>
  <si>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</si>
  <si>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</si>
  <si>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</si>
  <si>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</si>
  <si>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</si>
  <si>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</si>
  <si>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</si>
  <si>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</si>
  <si>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</si>
  <si>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</si>
  <si>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</si>
  <si>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</si>
  <si>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</si>
  <si>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</si>
  <si>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</si>
  <si>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</si>
  <si>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</si>
  <si>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</si>
  <si>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</si>
  <si>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</si>
  <si>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</si>
  <si>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</si>
  <si>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</si>
  <si>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</si>
  <si>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</si>
  <si>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</si>
  <si>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</si>
  <si>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</si>
  <si>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</si>
  <si>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</si>
  <si>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</si>
  <si>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</si>
  <si>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</si>
  <si>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</si>
  <si>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</si>
  <si>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</si>
  <si>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</si>
  <si>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</si>
  <si>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</si>
  <si>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</si>
  <si>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</si>
  <si>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</si>
  <si>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</si>
  <si>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</si>
  <si>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</si>
  <si>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</si>
  <si>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</si>
  <si>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</si>
  <si>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</si>
  <si>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</si>
  <si>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</si>
  <si>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</si>
  <si>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</si>
  <si>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</si>
  <si>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</si>
  <si>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</si>
  <si>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</si>
  <si>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</si>
  <si>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</si>
  <si>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</si>
  <si>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</si>
  <si>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</si>
  <si>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</si>
  <si>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</si>
  <si>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</si>
  <si>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</si>
  <si>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</si>
  <si>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</si>
  <si>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</si>
  <si>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</si>
  <si>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</si>
  <si>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</si>
  <si>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</si>
  <si>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</si>
  <si>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</si>
  <si>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</si>
  <si>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</si>
  <si>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</si>
  <si>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</si>
  <si>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</si>
  <si>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</si>
  <si>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</si>
  <si>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</si>
  <si>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</si>
  <si>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</si>
  <si>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</si>
  <si>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</si>
  <si>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</si>
  <si>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</si>
  <si>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</si>
  <si>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</si>
  <si>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</si>
  <si>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</si>
  <si>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</si>
  <si>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</si>
  <si>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</si>
  <si>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</si>
  <si>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</si>
  <si>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</si>
  <si>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</si>
  <si>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</si>
  <si>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</si>
  <si>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</si>
  <si>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</si>
  <si>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</si>
  <si>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</si>
  <si>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</si>
  <si>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</si>
  <si>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</si>
  <si>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</si>
  <si>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</si>
  <si>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</si>
  <si>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</si>
  <si>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</si>
  <si>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</si>
  <si>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</si>
  <si>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</si>
  <si>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</si>
  <si>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</si>
  <si>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</si>
  <si>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</si>
  <si>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</si>
  <si>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</si>
  <si>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</si>
  <si>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</si>
  <si>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</si>
  <si>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</si>
  <si>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</si>
  <si>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</si>
  <si>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</si>
  <si>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</si>
  <si>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</si>
  <si>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</si>
  <si>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</si>
  <si>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</si>
  <si>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</si>
  <si>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</si>
  <si>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</si>
  <si>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</si>
  <si>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</si>
  <si>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</si>
  <si>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</si>
  <si>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</si>
  <si>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</si>
  <si>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</si>
  <si>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</si>
  <si>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</si>
  <si>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</si>
  <si>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</si>
  <si>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</si>
  <si>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</si>
  <si>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</si>
  <si>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</si>
  <si>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</si>
  <si>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</si>
  <si>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</si>
  <si>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</si>
  <si>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</si>
  <si>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</si>
  <si>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</si>
  <si>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</si>
  <si>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</si>
  <si>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</si>
  <si>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</si>
  <si>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</si>
  <si>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</si>
  <si>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</si>
  <si>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</si>
  <si>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</si>
  <si>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</si>
  <si>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</si>
  <si>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</si>
  <si>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</si>
  <si>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</si>
  <si>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</si>
  <si>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</si>
  <si>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</si>
  <si>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</si>
  <si>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</si>
  <si>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</si>
  <si>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</si>
  <si>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</si>
  <si>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</si>
  <si>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</si>
  <si>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</si>
  <si>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</si>
  <si>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</si>
  <si>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</si>
  <si>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</si>
  <si>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</si>
  <si>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</si>
  <si>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</si>
  <si>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</si>
  <si>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</si>
  <si>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</si>
  <si>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</si>
  <si>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</si>
  <si>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</si>
  <si>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</si>
  <si>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</si>
  <si>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</si>
  <si>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</si>
  <si>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</si>
  <si>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</si>
  <si>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</si>
  <si>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</si>
  <si>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</si>
  <si>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</si>
  <si>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</si>
  <si>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</si>
  <si>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</si>
  <si>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</si>
  <si>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</si>
  <si>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</si>
  <si>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</si>
  <si>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</si>
  <si>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</si>
  <si>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</si>
  <si>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</si>
  <si>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</si>
  <si>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</si>
  <si>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</si>
  <si>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</si>
  <si>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</si>
  <si>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</si>
  <si>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</si>
  <si>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</si>
  <si>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</si>
  <si>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</si>
  <si>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</si>
  <si>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</si>
  <si>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</si>
  <si>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</si>
  <si>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</si>
  <si>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</si>
  <si>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</si>
  <si>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</si>
  <si>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</si>
  <si>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</si>
  <si>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</si>
  <si>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</si>
  <si>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</si>
  <si>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</si>
  <si>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</si>
  <si>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</si>
  <si>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</si>
  <si>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</si>
  <si>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</si>
  <si>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</si>
  <si>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</si>
  <si>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</si>
  <si>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</si>
  <si>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</si>
  <si>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</si>
  <si>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</si>
  <si>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</si>
  <si>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</si>
  <si>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</si>
  <si>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</si>
  <si>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</si>
  <si>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</si>
  <si>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</si>
  <si>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</si>
  <si>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</si>
  <si>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</si>
  <si>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</si>
  <si>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</si>
  <si>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</si>
  <si>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</si>
  <si>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</si>
  <si>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</si>
  <si>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</si>
  <si>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</si>
  <si>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</si>
  <si>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</si>
  <si>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</si>
  <si>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</si>
  <si>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</si>
  <si>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</si>
  <si>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</si>
  <si>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</si>
  <si>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</si>
  <si>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</si>
  <si>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</si>
  <si>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</si>
  <si>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</si>
  <si>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</si>
  <si>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</si>
  <si>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</si>
  <si>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</si>
  <si>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</si>
  <si>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</si>
  <si>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</si>
  <si>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</si>
  <si>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</si>
  <si>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</si>
  <si>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</si>
  <si>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</si>
  <si>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</si>
  <si>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</si>
  <si>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</si>
  <si>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</si>
  <si>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</si>
  <si>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</si>
  <si>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</si>
  <si>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</si>
  <si>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</si>
  <si>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</si>
  <si>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</si>
  <si>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</si>
  <si>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</si>
  <si>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</si>
  <si>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</si>
  <si>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</si>
  <si>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</si>
  <si>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</si>
  <si>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</si>
  <si>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</si>
  <si>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</si>
  <si>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</si>
  <si>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</si>
  <si>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</si>
  <si>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</si>
  <si>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</si>
  <si>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</si>
  <si>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</si>
  <si>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</si>
  <si>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</si>
  <si>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</si>
  <si>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</si>
  <si>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</si>
  <si>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</si>
  <si>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</si>
  <si>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</si>
  <si>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</si>
  <si>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</si>
  <si>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</si>
  <si>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</si>
  <si>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</si>
  <si>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</si>
  <si>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</si>
  <si>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</si>
  <si>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</si>
  <si>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</si>
  <si>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</si>
  <si>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</si>
  <si>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</si>
  <si>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</si>
  <si>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</si>
  <si>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</si>
  <si>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</si>
  <si>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</si>
  <si>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</si>
  <si>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</si>
  <si>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</si>
  <si>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</si>
  <si>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</si>
  <si>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</si>
  <si>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</si>
  <si>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</si>
  <si>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</si>
  <si>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</si>
  <si>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</si>
  <si>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</si>
  <si>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</si>
  <si>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</si>
  <si>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</si>
  <si>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</si>
  <si>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</si>
  <si>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</si>
  <si>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</si>
  <si>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</si>
  <si>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</si>
  <si>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</si>
  <si>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</si>
  <si>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</si>
  <si>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</si>
  <si>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</si>
  <si>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</si>
  <si>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</si>
  <si>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</si>
  <si>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</si>
  <si>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</si>
  <si>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</si>
  <si>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</si>
  <si>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</si>
  <si>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</si>
  <si>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</si>
  <si>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</si>
  <si>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</si>
  <si>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</si>
  <si>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</si>
  <si>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</si>
  <si>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</si>
  <si>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</si>
  <si>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</si>
  <si>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</si>
  <si>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</si>
  <si>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</si>
  <si>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</si>
  <si>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</si>
  <si>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</si>
  <si>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</si>
  <si>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</si>
  <si>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</si>
  <si>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</si>
  <si>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</si>
  <si>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</si>
  <si>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</si>
  <si>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</si>
  <si>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</si>
  <si>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</si>
  <si>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</si>
  <si>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</si>
  <si>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</si>
  <si>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</si>
  <si>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</si>
  <si>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</si>
  <si>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</si>
  <si>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</si>
  <si>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</si>
  <si>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</si>
  <si>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</si>
  <si>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</si>
  <si>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</si>
  <si>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</si>
  <si>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</si>
  <si>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</si>
  <si>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</si>
  <si>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</si>
  <si>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</si>
  <si>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</si>
  <si>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</si>
  <si>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</si>
  <si>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</si>
  <si>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</si>
  <si>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</si>
  <si>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</si>
  <si>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</si>
  <si>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</si>
  <si>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</si>
  <si>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</si>
  <si>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</si>
  <si>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</si>
  <si>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</si>
  <si>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</si>
  <si>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</si>
  <si>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</si>
  <si>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</si>
  <si>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</si>
  <si>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</si>
  <si>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</si>
  <si>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</si>
  <si>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</si>
  <si>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</si>
  <si>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</si>
  <si>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</si>
  <si>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</si>
  <si>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</si>
  <si>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</si>
  <si>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</si>
  <si>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</si>
  <si>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</si>
  <si>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</si>
  <si>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</si>
  <si>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</si>
  <si>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</si>
  <si>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</si>
  <si>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</si>
  <si>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</si>
  <si>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</si>
  <si>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</si>
  <si>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</si>
  <si>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</si>
  <si>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</si>
  <si>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</si>
  <si>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</si>
  <si>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</si>
  <si>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</si>
  <si>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</si>
  <si>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</si>
  <si>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</si>
  <si>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</si>
  <si>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</si>
  <si>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</si>
  <si>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</si>
  <si>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</si>
  <si>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</si>
  <si>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</si>
  <si>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</si>
  <si>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</si>
  <si>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</si>
  <si>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Solicitou mais que o necessário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</si>
  <si>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</si>
  <si>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</si>
  <si>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</si>
  <si>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</si>
  <si>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</si>
  <si>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</si>
  <si>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</si>
  <si>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</si>
  <si>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</si>
  <si>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</si>
  <si>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</si>
  <si>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</si>
  <si>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</si>
  <si>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</si>
  <si>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</si>
  <si>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</si>
  <si>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</si>
  <si>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</si>
  <si>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</si>
  <si>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</si>
  <si>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</si>
  <si>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</si>
  <si>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</si>
  <si>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</si>
  <si>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</si>
  <si>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</si>
  <si>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</si>
  <si>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</si>
  <si>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</si>
  <si>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</si>
  <si>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</si>
  <si>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</si>
  <si>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</si>
  <si>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</si>
  <si>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</si>
  <si>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</si>
  <si>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</si>
  <si>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</si>
  <si>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</si>
  <si>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</si>
  <si>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</si>
  <si>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</si>
  <si>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</si>
  <si>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</si>
  <si>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</si>
  <si>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</si>
  <si>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</si>
  <si>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</si>
  <si>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</si>
  <si>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</si>
  <si>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</si>
  <si>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</si>
  <si>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</si>
  <si>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</si>
  <si>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</si>
  <si>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</si>
  <si>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</si>
  <si>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</si>
  <si>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</si>
  <si>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</si>
  <si>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</si>
  <si>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</si>
  <si>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</si>
  <si>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</si>
  <si>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</si>
  <si>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</si>
  <si>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</si>
  <si>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</si>
  <si>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</si>
  <si>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</si>
  <si>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</si>
  <si>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</si>
  <si>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</si>
  <si>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</si>
  <si>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</si>
  <si>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</si>
  <si>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</si>
  <si>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</si>
  <si>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</si>
  <si>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</si>
  <si>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</si>
  <si>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</si>
  <si>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</si>
  <si>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</si>
  <si>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</si>
  <si>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</si>
  <si>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</si>
  <si>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</si>
  <si>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</si>
  <si>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</si>
  <si>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</si>
  <si>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</si>
  <si>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</si>
  <si>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</si>
  <si>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</si>
  <si>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</si>
  <si>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</si>
  <si>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</si>
  <si>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</si>
  <si>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</si>
  <si>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</si>
  <si>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</si>
  <si>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</si>
  <si>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</si>
  <si>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</si>
  <si>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</si>
  <si>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</si>
  <si>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</si>
  <si>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</si>
  <si>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</si>
  <si>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</si>
  <si>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</si>
  <si>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</si>
  <si>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</si>
  <si>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</si>
  <si>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</si>
  <si>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</si>
  <si>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</si>
  <si>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</si>
  <si>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</si>
  <si>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</si>
  <si>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</si>
  <si>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</si>
  <si>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</si>
  <si>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</si>
  <si>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</si>
  <si>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</si>
  <si>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</si>
  <si>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</si>
  <si>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</si>
  <si>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</si>
  <si>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</si>
  <si>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</si>
  <si>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</si>
  <si>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</si>
  <si>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</si>
  <si>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</si>
  <si>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</si>
  <si>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</si>
  <si>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</si>
  <si>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</si>
  <si>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</si>
  <si>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</si>
  <si>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</si>
  <si>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</si>
  <si>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</si>
  <si>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</si>
  <si>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</si>
  <si>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</si>
  <si>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</si>
  <si>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</si>
  <si>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</si>
  <si>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</si>
  <si>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</si>
  <si>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</si>
  <si>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</si>
  <si>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</si>
  <si>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</si>
  <si>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</si>
  <si>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</si>
  <si>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</si>
  <si>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</si>
  <si>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</si>
  <si>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</si>
  <si>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</si>
  <si>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</si>
  <si>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</si>
  <si>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</si>
  <si>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</si>
  <si>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</si>
  <si>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</si>
  <si>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MC1 10h14 / autorizado entrada na via 10h30 / Em deslocamento para km de trabalh0</t>
  </si>
  <si>
    <t>Concedido intervalo das 11h08 até 12h38, intervalo entregue as 13h05, devido local de trabalho com dificuldades de operação + chuva.</t>
  </si>
  <si>
    <t>ZQBZBV-ZRX</t>
  </si>
  <si>
    <t>ZYU-1</t>
  </si>
  <si>
    <t xml:space="preserve">PDM - Descarga de dormentes </t>
  </si>
  <si>
    <t>MC1 09h22 /  Sem oportunidade de faixa</t>
  </si>
  <si>
    <t>Tp pronto 10h39 / previsão de faixa após M86</t>
  </si>
  <si>
    <t>Tp pronto 10h39 / Realizado intervalo das 12h40 até 14h10 / Produção 7 dormentes substituidos e 18 metros de limpeza de lastro. (baixa produção, devido lastro contaminado</t>
  </si>
  <si>
    <t>TP pronto 09h21 / Sem oportunidade de faixa</t>
  </si>
  <si>
    <t>Cancelado, sem acesso no local de trabalho, devido chuva.</t>
  </si>
  <si>
    <t>Recolhimeno de tampão</t>
  </si>
  <si>
    <t>ZEM-ZKE</t>
  </si>
  <si>
    <t>Devido diagnostico da mec, necessário o abastecimento de areia, alterado a programação para realizar abastecimento em ZKE / MC1 08h29 / Sem oportunidade de faixa</t>
  </si>
  <si>
    <t>TP pronto 10h36 /  previsão de faixa após U50</t>
  </si>
  <si>
    <t>TP pronto 10h36 /  realizado intervalo das 12h05 até 13h35</t>
  </si>
  <si>
    <t>MC1 09h29 / Sem oportunidade de faixa</t>
  </si>
  <si>
    <t>Bloco Modernização</t>
  </si>
  <si>
    <t>Em intervalo das 10h00 até 20h00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</si>
  <si>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</si>
  <si>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</si>
  <si>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</si>
  <si>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</si>
  <si>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TP pronto 07h29 / Aguardando confirmar cauda do Y71</t>
  </si>
  <si>
    <t>TP pronto 07h29 / Realizado intervalo das 12h55 até 13h55</t>
  </si>
  <si>
    <t>;</t>
  </si>
  <si>
    <t>TP pronto 07h29 / Em intervalo das 12h55 até 13h55</t>
  </si>
  <si>
    <t>TP pronto 09h17 /  sem oportunidade</t>
  </si>
  <si>
    <t xml:space="preserve">TP pronto 12h40 / Realizado intervalo das 13h35 até 16h05 / </t>
  </si>
  <si>
    <t>Aguardando ativos posicionar no bloc</t>
  </si>
  <si>
    <t>Em intervalo das 12h03 até 20h03</t>
  </si>
  <si>
    <t>Previsão de pronto 10h00</t>
  </si>
  <si>
    <t>Em intervalo bloco</t>
  </si>
  <si>
    <t>Descarga de dormentes + Recolha de dormentes + Descarga de pedra</t>
  </si>
  <si>
    <t>TP pronto 08h49, sem oportunidade de faixa</t>
  </si>
  <si>
    <t>ZEV-1</t>
  </si>
  <si>
    <t>ZPT-ZEV</t>
  </si>
  <si>
    <t>MC1 07h39 / Sem oportunidade de faixa</t>
  </si>
  <si>
    <t>Z3V3</t>
  </si>
  <si>
    <t xml:space="preserve">Manobra </t>
  </si>
  <si>
    <t>ZEZZXW</t>
  </si>
  <si>
    <t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t>
  </si>
  <si>
    <t>ZPT-ZXW</t>
  </si>
  <si>
    <t>ZPTZXW</t>
  </si>
  <si>
    <t>Deslocamento turmas na serra</t>
  </si>
  <si>
    <t>pDM - Substituição de dormentes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</si>
  <si>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</si>
  <si>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</si>
  <si>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</si>
  <si>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</si>
  <si>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</si>
  <si>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</si>
  <si>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</si>
  <si>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</si>
  <si>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</si>
  <si>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</si>
  <si>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</si>
  <si>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</si>
  <si>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</si>
  <si>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</si>
  <si>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</si>
  <si>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</si>
  <si>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</si>
  <si>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</si>
  <si>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</si>
  <si>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</si>
  <si>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</si>
  <si>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</si>
  <si>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</si>
  <si>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</si>
  <si>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</si>
  <si>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</si>
  <si>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</si>
  <si>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</si>
  <si>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</si>
  <si>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</si>
  <si>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</si>
  <si>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</si>
  <si>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</si>
  <si>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</si>
  <si>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</si>
  <si>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</si>
  <si>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</si>
  <si>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</si>
  <si>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</si>
  <si>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</si>
  <si>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</si>
  <si>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</si>
  <si>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</si>
  <si>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</si>
  <si>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</si>
  <si>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</si>
  <si>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</si>
  <si>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</si>
  <si>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</si>
  <si>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</si>
  <si>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</si>
  <si>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</si>
  <si>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</si>
  <si>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</si>
  <si>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</si>
  <si>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</si>
  <si>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</si>
  <si>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Loco em ZTO  T52 9227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</si>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</sst>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BA1" activePane="topRight" state="frozen"/>
      <selection pane="topRight" activeCell="BP389" sqref="BP38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8" t="s">
        <v>919</v>
      </c>
      <c r="C1" s="199"/>
      <c r="D1" s="199"/>
      <c r="E1" s="3"/>
      <c r="F1" s="198" t="s">
        <v>920</v>
      </c>
      <c r="G1" s="199"/>
      <c r="H1" s="200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201"/>
      <c r="AH1" s="5"/>
      <c r="AI1" s="208" t="s">
        <v>921</v>
      </c>
      <c r="AJ1" s="209"/>
      <c r="AK1" s="209"/>
      <c r="AL1" s="209"/>
      <c r="AM1" s="210"/>
      <c r="AN1" s="211"/>
      <c r="AO1" s="209"/>
      <c r="AP1" s="209"/>
      <c r="AQ1" s="209"/>
      <c r="AR1" s="209"/>
      <c r="AS1" s="209"/>
      <c r="AT1" s="209"/>
      <c r="AU1" s="209"/>
      <c r="AV1" s="209"/>
      <c r="AW1" s="209"/>
      <c r="AX1" s="209"/>
      <c r="AY1" s="209"/>
      <c r="AZ1" s="209"/>
      <c r="BA1" s="209"/>
      <c r="BB1" s="209"/>
      <c r="BC1" s="209"/>
      <c r="BD1" s="209"/>
      <c r="BE1" s="209"/>
      <c r="BF1" s="212"/>
      <c r="BG1" s="5"/>
      <c r="BH1" s="213" t="s">
        <v>922</v>
      </c>
      <c r="BI1" s="214"/>
      <c r="BJ1" s="214"/>
      <c r="BK1" s="215"/>
      <c r="BL1" s="5"/>
      <c r="BM1" s="205" t="s">
        <v>923</v>
      </c>
      <c r="BN1" s="206"/>
      <c r="BO1" s="206"/>
      <c r="BP1" s="206"/>
      <c r="BQ1" s="206"/>
      <c r="BR1" s="206"/>
      <c r="BS1" s="207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8" t="s">
        <v>924</v>
      </c>
      <c r="AJ2" s="209"/>
      <c r="AK2" s="209"/>
      <c r="AL2" s="209"/>
      <c r="AM2" s="210"/>
      <c r="AN2" s="211"/>
      <c r="AO2" s="209"/>
      <c r="AP2" s="209"/>
      <c r="AQ2" s="212"/>
      <c r="AR2" s="6"/>
      <c r="AS2" s="208" t="s">
        <v>927</v>
      </c>
      <c r="AT2" s="209"/>
      <c r="AU2" s="209"/>
      <c r="AV2" s="209"/>
      <c r="AW2" s="209"/>
      <c r="AX2" s="209"/>
      <c r="AY2" s="212"/>
      <c r="AZ2" s="6"/>
      <c r="BA2" s="202" t="s">
        <v>928</v>
      </c>
      <c r="BB2" s="204"/>
      <c r="BC2" s="208" t="s">
        <v>925</v>
      </c>
      <c r="BD2" s="209"/>
      <c r="BE2" s="209"/>
      <c r="BF2" s="212"/>
      <c r="BG2" s="5"/>
      <c r="BH2" s="216"/>
      <c r="BI2" s="217"/>
      <c r="BJ2" s="217"/>
      <c r="BK2" s="218"/>
      <c r="BL2" s="5"/>
      <c r="BM2" s="219"/>
      <c r="BN2" s="220"/>
      <c r="BO2" s="220"/>
      <c r="BP2" s="220"/>
      <c r="BQ2" s="220"/>
      <c r="BR2" s="220"/>
      <c r="BS2" s="221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2" t="s">
        <v>929</v>
      </c>
      <c r="AJ3" s="204"/>
      <c r="AK3" s="202" t="s">
        <v>930</v>
      </c>
      <c r="AL3" s="203"/>
      <c r="AM3" s="224"/>
      <c r="AN3" s="225"/>
      <c r="AO3" s="203"/>
      <c r="AP3" s="203"/>
      <c r="AQ3" s="204"/>
      <c r="AR3" s="63"/>
      <c r="AS3" s="196" t="s">
        <v>936</v>
      </c>
      <c r="AT3" s="197"/>
      <c r="AU3" s="196" t="s">
        <v>937</v>
      </c>
      <c r="AV3" s="197"/>
      <c r="AW3" s="196" t="s">
        <v>938</v>
      </c>
      <c r="AX3" s="197"/>
      <c r="AY3" s="63" t="s">
        <v>939</v>
      </c>
      <c r="AZ3" s="63"/>
      <c r="BA3" s="222"/>
      <c r="BB3" s="223"/>
      <c r="BC3" s="202" t="s">
        <v>932</v>
      </c>
      <c r="BD3" s="203"/>
      <c r="BE3" s="203"/>
      <c r="BF3" s="204"/>
      <c r="BG3" s="62"/>
      <c r="BH3" s="216"/>
      <c r="BI3" s="217"/>
      <c r="BJ3" s="217"/>
      <c r="BK3" s="218"/>
      <c r="BL3" s="62"/>
      <c r="BM3" s="205" t="s">
        <v>940</v>
      </c>
      <c r="BN3" s="206"/>
      <c r="BO3" s="206"/>
      <c r="BP3" s="207"/>
      <c r="BQ3" s="205" t="s">
        <v>707</v>
      </c>
      <c r="BR3" s="206"/>
      <c r="BS3" s="207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406</v>
      </c>
      <c r="BN227" s="130" t="s">
        <v>435</v>
      </c>
      <c r="BO227" s="130" t="s">
        <v>497</v>
      </c>
      <c r="BP227" s="18" t="s">
        <v>1338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SuperExecução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1369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1372</v>
      </c>
      <c r="BK260" s="18" t="s">
        <v>1373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1374</v>
      </c>
      <c r="BK261" s="17" t="s">
        <v>1374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1374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1375</v>
      </c>
      <c r="BK262" s="17" t="s">
        <v>1375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1375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1376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1377</v>
      </c>
      <c r="BK263" s="176" t="s">
        <v>1378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1378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1379</v>
      </c>
      <c r="BK264" s="176" t="s">
        <v>1380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1380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1381</v>
      </c>
      <c r="BK265" s="17" t="s">
        <v>1381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1381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1382</v>
      </c>
      <c r="BK266" s="176" t="s">
        <v>1383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1384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1385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1386</v>
      </c>
      <c r="BK270" s="176" t="s">
        <v>1386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1387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1388</v>
      </c>
      <c r="BK273" s="176" t="s">
        <v>1389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1390</v>
      </c>
      <c r="BK274" s="18" t="s">
        <v>1369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1369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1390</v>
      </c>
      <c r="BK275" s="18" t="s">
        <v>1369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1369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1391</v>
      </c>
      <c r="BK276" s="17" t="s">
        <v>1392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1393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1394</v>
      </c>
      <c r="BK278" s="17" t="s">
        <v>1394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1394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1393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1394</v>
      </c>
      <c r="BK279" s="17" t="s">
        <v>1394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1394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1393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1394</v>
      </c>
      <c r="BK280" s="17" t="s">
        <v>1394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1394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1393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1394</v>
      </c>
      <c r="BK281" s="17" t="s">
        <v>1394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1394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1395</v>
      </c>
      <c r="BK285" s="176" t="s">
        <v>1395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1396</v>
      </c>
      <c r="BK286" s="176" t="s">
        <v>1396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1369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1369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1397</v>
      </c>
      <c r="N289" s="127" t="s">
        <v>1398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1399</v>
      </c>
      <c r="BK289" s="176" t="s">
        <v>1399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1400</v>
      </c>
      <c r="N290" s="127" t="s">
        <v>1401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1402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1403</v>
      </c>
      <c r="BK290" s="18" t="s">
        <v>1404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1405</v>
      </c>
      <c r="BK291" s="18" t="s">
        <v>1406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1406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1369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1369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1407</v>
      </c>
      <c r="BK294" s="17" t="s">
        <v>1408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1408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1409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1410</v>
      </c>
      <c r="BK295" s="17" t="s">
        <v>1410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1410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1411</v>
      </c>
      <c r="BK296" s="17" t="s">
        <v>1412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1412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1413</v>
      </c>
      <c r="BK297" s="17" t="s">
        <v>1414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1414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1415</v>
      </c>
      <c r="BK298" s="17" t="s">
        <v>1415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1415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1416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1417</v>
      </c>
      <c r="BK299" s="17" t="s">
        <v>1418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1418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1419</v>
      </c>
      <c r="BK300" s="17" t="s">
        <v>1420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1420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1421</v>
      </c>
      <c r="BK301" s="17" t="s">
        <v>1422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1422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1408</v>
      </c>
      <c r="BK302" s="17" t="s">
        <v>1408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1408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1423</v>
      </c>
      <c r="I303" s="106" t="s">
        <v>1424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1425</v>
      </c>
      <c r="BK303" s="17" t="s">
        <v>1425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1426</v>
      </c>
      <c r="BK304" s="17" t="s">
        <v>1427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1427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1428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1426</v>
      </c>
      <c r="BK305" s="18" t="s">
        <v>1429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1429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1428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1426</v>
      </c>
      <c r="BK306" s="18" t="s">
        <v>1429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1429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1430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1426</v>
      </c>
      <c r="BK307" s="18" t="s">
        <v>1431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1431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1426</v>
      </c>
      <c r="BK308" s="18" t="s">
        <v>1431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1431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1432</v>
      </c>
      <c r="BK309" s="18" t="s">
        <v>1433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1433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1434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1435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1436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1437</v>
      </c>
      <c r="BK311" s="17" t="s">
        <v>1437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1438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1439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1440</v>
      </c>
      <c r="BK312" s="17" t="s">
        <v>1440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1440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1441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1442</v>
      </c>
      <c r="BK313" s="17" t="s">
        <v>1442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1440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1443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1444</v>
      </c>
      <c r="BK314" s="17" t="s">
        <v>1444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1444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1393</v>
      </c>
      <c r="W315" s="151" t="s">
        <v>1445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1446</v>
      </c>
      <c r="BK315" s="17" t="s">
        <v>1446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1446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1393</v>
      </c>
      <c r="W316" s="151" t="s">
        <v>1445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1447</v>
      </c>
      <c r="BK316" s="17" t="s">
        <v>1447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1447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1448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1449</v>
      </c>
      <c r="BK318" s="17" t="s">
        <v>1450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1451</v>
      </c>
      <c r="BK319" s="17" t="s">
        <v>1452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1453</v>
      </c>
      <c r="BK320" s="17" t="s">
        <v>1454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1455</v>
      </c>
      <c r="BK322" s="176" t="s">
        <v>1455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1455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1456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1457</v>
      </c>
      <c r="BK323" s="17" t="s">
        <v>1458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1459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1460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1461</v>
      </c>
      <c r="BK324" s="17" t="s">
        <v>1462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1459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1402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1404</v>
      </c>
      <c r="BK325" s="17" t="s">
        <v>1463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1408</v>
      </c>
      <c r="BK326" s="17" t="s">
        <v>1408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1408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1408</v>
      </c>
      <c r="BK327" s="17" t="s">
        <v>1408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1408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1464</v>
      </c>
      <c r="BK328" s="17" t="s">
        <v>1465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1466</v>
      </c>
      <c r="BK330" s="17" t="s">
        <v>1466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1466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1467</v>
      </c>
      <c r="N331" s="127" t="s">
        <v>1467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1468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1469</v>
      </c>
      <c r="BK331" s="176" t="s">
        <v>1470</v>
      </c>
      <c r="BL331" s="16"/>
      <c r="BM331" s="130" t="s">
        <v>410</v>
      </c>
      <c r="BN331" s="130" t="s">
        <v>410</v>
      </c>
      <c r="BO331" s="130" t="s">
        <v>410</v>
      </c>
      <c r="BP331" s="18" t="s">
        <v>558</v>
      </c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>OKOK</v>
      </c>
    </row>
    <row r="332" spans="1:72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1409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1471</v>
      </c>
      <c r="BK332" s="18" t="s">
        <v>1472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1472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1473</v>
      </c>
      <c r="BK333" s="17" t="s">
        <v>1473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1473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1474</v>
      </c>
      <c r="BK334" s="17" t="s">
        <v>1474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1474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1475</v>
      </c>
      <c r="BK335" s="17" t="s">
        <v>1475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1475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1416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1476</v>
      </c>
      <c r="BK336" s="17" t="s">
        <v>1476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1476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1466</v>
      </c>
      <c r="BK337" s="17" t="s">
        <v>1466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1466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1466</v>
      </c>
      <c r="BK338" s="17" t="s">
        <v>1466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1466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1477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1478</v>
      </c>
      <c r="N339" s="127" t="s">
        <v>1479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1480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1481</v>
      </c>
      <c r="I340" s="106" t="s">
        <v>1481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1482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1483</v>
      </c>
      <c r="BK340" s="17" t="s">
        <v>1483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1483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1484</v>
      </c>
      <c r="BK341" s="17" t="s">
        <v>1485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1484</v>
      </c>
      <c r="BK342" s="17" t="s">
        <v>1485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1484</v>
      </c>
      <c r="BK343" s="17" t="s">
        <v>1485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1486</v>
      </c>
      <c r="J344" s="105">
        <v>48</v>
      </c>
      <c r="K344" s="105">
        <v>135</v>
      </c>
      <c r="L344" s="105"/>
      <c r="M344" s="127" t="s">
        <v>1487</v>
      </c>
      <c r="N344" s="127" t="s">
        <v>1488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1489</v>
      </c>
      <c r="W344" s="151" t="s">
        <v>1402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1432</v>
      </c>
      <c r="BK344" s="18" t="s">
        <v>1490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1491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1492</v>
      </c>
      <c r="BK345" s="17" t="s">
        <v>1493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1493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1494</v>
      </c>
      <c r="BK346" s="17" t="s">
        <v>1494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>
      <c r="A347" s="47" t="str">
        <f>D347&amp;B347</f>
        <v>EDSON (TP-719)46092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1484</v>
      </c>
      <c r="BK347" s="17" t="s">
        <v>1485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1484</v>
      </c>
      <c r="BK348" s="17" t="s">
        <v>1485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1466</v>
      </c>
      <c r="BK349" s="17" t="s">
        <v>1466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1466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1466</v>
      </c>
      <c r="BK350" s="17" t="s">
        <v>1466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1466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1466</v>
      </c>
      <c r="BK351" s="17" t="s">
        <v>1466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1466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1495</v>
      </c>
      <c r="J352" s="105">
        <v>92</v>
      </c>
      <c r="K352" s="105">
        <v>65.3</v>
      </c>
      <c r="L352" s="105" t="s">
        <v>558</v>
      </c>
      <c r="M352" s="127" t="s">
        <v>1496</v>
      </c>
      <c r="N352" s="127" t="s">
        <v>1497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1498</v>
      </c>
      <c r="BK352" s="17" t="s">
        <v>1498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1499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1500</v>
      </c>
      <c r="BK353" s="176" t="s">
        <v>1501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1501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1502</v>
      </c>
      <c r="BK354" s="176" t="s">
        <v>1502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1502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1503</v>
      </c>
      <c r="BK355" s="110" t="s">
        <v>1504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1504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1466</v>
      </c>
      <c r="BK356" s="176" t="s">
        <v>1466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1466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1505</v>
      </c>
      <c r="BK357" s="17" t="s">
        <v>1506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1506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1507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1508</v>
      </c>
      <c r="BK358" s="18" t="s">
        <v>1509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1369</v>
      </c>
      <c r="BK360" s="17" t="s">
        <v>1369</v>
      </c>
      <c r="BL360" s="16"/>
      <c r="BM360" s="130" t="s">
        <v>412</v>
      </c>
      <c r="BN360" s="130" t="s">
        <v>436</v>
      </c>
      <c r="BO360" s="130" t="s">
        <v>436</v>
      </c>
      <c r="BP360" s="17" t="s">
        <v>1369</v>
      </c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>CondiçõesClimáticaChuva</v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6.25E-2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1409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>
        <v>0.42638888888888887</v>
      </c>
      <c r="AS361" s="108">
        <v>0.46388888888888891</v>
      </c>
      <c r="AT361" s="108">
        <v>0.54513888888888884</v>
      </c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8.1249999999999933E-2</v>
      </c>
      <c r="AZ361" s="153"/>
      <c r="BA361" s="109">
        <v>400</v>
      </c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>
        <v>2</v>
      </c>
      <c r="BI361" s="17"/>
      <c r="BJ361" s="17" t="s">
        <v>1510</v>
      </c>
      <c r="BK361" s="18" t="s">
        <v>1511</v>
      </c>
      <c r="BL361" s="16"/>
      <c r="BM361" s="130" t="s">
        <v>410</v>
      </c>
      <c r="BN361" s="130" t="s">
        <v>410</v>
      </c>
      <c r="BO361" s="130" t="s">
        <v>410</v>
      </c>
      <c r="BP361" s="18" t="s">
        <v>558</v>
      </c>
      <c r="BQ361" s="12" t="str">
        <f>IF(AND(BR361&lt;1,BS361&lt;1),"Produção e Intervalo",IF(BR361&lt;1,"Intervalo",IF(BS361&lt;1,"Produção","Aderente")))</f>
        <v>Aderente</v>
      </c>
      <c r="BR361" s="19">
        <f>IF(OR(B361="",F361=""),"*",AY361/P361)</f>
        <v>1.2999999999999989</v>
      </c>
      <c r="BS361" s="19">
        <f>IF(OR(B361="",F361=""),"*",BA361/Q361)</f>
        <v>2</v>
      </c>
      <c r="BT361" s="8" t="str">
        <f t="shared" si="8"/>
        <v>OKOK</v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1486</v>
      </c>
      <c r="I362" s="106" t="s">
        <v>333</v>
      </c>
      <c r="J362" s="105">
        <v>68</v>
      </c>
      <c r="K362" s="105">
        <v>52</v>
      </c>
      <c r="L362" s="105"/>
      <c r="M362" s="127" t="s">
        <v>1512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1513</v>
      </c>
      <c r="I364" s="106" t="s">
        <v>1513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1514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>
        <v>0.39027777777777778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>
        <v>0</v>
      </c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>
        <v>0</v>
      </c>
      <c r="BI364" s="17"/>
      <c r="BJ364" s="17" t="s">
        <v>1515</v>
      </c>
      <c r="BK364" s="17" t="s">
        <v>1515</v>
      </c>
      <c r="BL364" s="16"/>
      <c r="BM364" s="130" t="s">
        <v>405</v>
      </c>
      <c r="BN364" s="130" t="s">
        <v>434</v>
      </c>
      <c r="BO364" s="130" t="s">
        <v>495</v>
      </c>
      <c r="BP364" s="17" t="s">
        <v>1515</v>
      </c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>CCOCirculaçãoIntervaloOportunidade</v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>
        <v>0.44374999999999998</v>
      </c>
      <c r="AS365" s="108">
        <v>0.52777777777777779</v>
      </c>
      <c r="AT365" s="108">
        <v>0.59027777777777779</v>
      </c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6.25E-2</v>
      </c>
      <c r="AZ365" s="153"/>
      <c r="BA365" s="109">
        <v>7</v>
      </c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>
        <v>2</v>
      </c>
      <c r="BI365" s="17"/>
      <c r="BJ365" s="17" t="s">
        <v>1516</v>
      </c>
      <c r="BK365" s="17" t="s">
        <v>1517</v>
      </c>
      <c r="BL365" s="16"/>
      <c r="BM365" s="130" t="s">
        <v>406</v>
      </c>
      <c r="BN365" s="130" t="s">
        <v>435</v>
      </c>
      <c r="BO365" s="130" t="s">
        <v>527</v>
      </c>
      <c r="BP365" s="17" t="s">
        <v>1517</v>
      </c>
      <c r="BQ365" s="12" t="str">
        <f>IF(AND(BR365&lt;1,BS365&lt;1),"Produção e Intervalo",IF(BR365&lt;1,"Intervalo",IF(BS365&lt;1,"Produção","Aderente")))</f>
        <v>Produção</v>
      </c>
      <c r="BR365" s="19">
        <f>IF(OR(B365="",F365=""),"*",AY365/P365)</f>
        <v>1</v>
      </c>
      <c r="BS365" s="19">
        <f>IF(OR(B365="",F365=""),"*",BA365/Q365)</f>
        <v>0.23333333333333334</v>
      </c>
      <c r="BT365" s="8" t="str">
        <f t="shared" si="8"/>
        <v>SuperExecução</v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>
        <v>0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>
        <v>0</v>
      </c>
      <c r="BI366" s="17"/>
      <c r="BJ366" s="17" t="s">
        <v>1369</v>
      </c>
      <c r="BK366" s="17" t="s">
        <v>1369</v>
      </c>
      <c r="BL366" s="16"/>
      <c r="BM366" s="130" t="s">
        <v>412</v>
      </c>
      <c r="BN366" s="130" t="s">
        <v>436</v>
      </c>
      <c r="BO366" s="130" t="s">
        <v>436</v>
      </c>
      <c r="BP366" s="17" t="s">
        <v>1369</v>
      </c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>CondiçõesClimáticaChuva</v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>
        <v>0.38958333333333334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>
        <v>0</v>
      </c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>
        <v>0</v>
      </c>
      <c r="BI367" s="17"/>
      <c r="BJ367" s="17" t="s">
        <v>1518</v>
      </c>
      <c r="BK367" s="17" t="s">
        <v>1518</v>
      </c>
      <c r="BL367" s="16"/>
      <c r="BM367" s="130" t="s">
        <v>405</v>
      </c>
      <c r="BN367" s="130" t="s">
        <v>434</v>
      </c>
      <c r="BO367" s="130" t="s">
        <v>495</v>
      </c>
      <c r="BP367" s="17" t="s">
        <v>1518</v>
      </c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>CCOCirculaçãoIntervaloOportunidade</v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>
        <v>0</v>
      </c>
      <c r="AS369" s="108">
        <v>0</v>
      </c>
      <c r="AT369" s="108">
        <v>0</v>
      </c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>
        <v>0</v>
      </c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>
        <v>0</v>
      </c>
      <c r="BI369" s="17"/>
      <c r="BJ369" s="17" t="s">
        <v>1369</v>
      </c>
      <c r="BK369" s="17" t="s">
        <v>1369</v>
      </c>
      <c r="BL369" s="16"/>
      <c r="BM369" s="130" t="s">
        <v>412</v>
      </c>
      <c r="BN369" s="130" t="s">
        <v>436</v>
      </c>
      <c r="BO369" s="130" t="s">
        <v>436</v>
      </c>
      <c r="BP369" s="17" t="s">
        <v>1369</v>
      </c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>CondiçõesClimáticaChuva</v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1369</v>
      </c>
      <c r="BK370" s="17" t="s">
        <v>1369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1369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1481</v>
      </c>
      <c r="I372" s="106" t="s">
        <v>1481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1482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1519</v>
      </c>
      <c r="BK372" s="17" t="s">
        <v>1519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1519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1520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1521</v>
      </c>
      <c r="AN373" s="105" t="s">
        <v>1521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>
        <v>0</v>
      </c>
      <c r="AT373" s="108">
        <v>0</v>
      </c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>
        <v>0</v>
      </c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>
        <v>0</v>
      </c>
      <c r="BI373" s="17"/>
      <c r="BJ373" s="17" t="s">
        <v>1522</v>
      </c>
      <c r="BK373" s="17" t="s">
        <v>1522</v>
      </c>
      <c r="BL373" s="16"/>
      <c r="BM373" s="130" t="s">
        <v>405</v>
      </c>
      <c r="BN373" s="130" t="s">
        <v>434</v>
      </c>
      <c r="BO373" s="130" t="s">
        <v>495</v>
      </c>
      <c r="BP373" s="17" t="s">
        <v>1522</v>
      </c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>CCOCirculaçãoIntervaloOportunidade</v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>
        <v>0.44166666666666665</v>
      </c>
      <c r="AS374" s="108">
        <v>0.50347222222222221</v>
      </c>
      <c r="AT374" s="108">
        <v>0.56597222222222221</v>
      </c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6.25E-2</v>
      </c>
      <c r="AZ374" s="153"/>
      <c r="BA374" s="109">
        <v>40</v>
      </c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>
        <v>2</v>
      </c>
      <c r="BI374" s="17"/>
      <c r="BJ374" s="17" t="s">
        <v>1523</v>
      </c>
      <c r="BK374" s="18" t="s">
        <v>1524</v>
      </c>
      <c r="BL374" s="16"/>
      <c r="BM374" s="130" t="s">
        <v>410</v>
      </c>
      <c r="BN374" s="130" t="s">
        <v>410</v>
      </c>
      <c r="BO374" s="130" t="s">
        <v>410</v>
      </c>
      <c r="BP374" s="18"/>
      <c r="BQ374" s="12" t="str">
        <f>IF(AND(BR374&lt;1,BS374&lt;1),"Produção e Intervalo",IF(BR374&lt;1,"Intervalo",IF(BS374&lt;1,"Produção","Aderente")))</f>
        <v>Intervalo</v>
      </c>
      <c r="BR374" s="19">
        <f>IF(OR(B374="",F374=""),"*",AY374/P374)</f>
        <v>0.75</v>
      </c>
      <c r="BS374" s="19">
        <f>IF(OR(B374="",F374=""),"*",BA374/Q374)</f>
        <v>1.3333333333333333</v>
      </c>
      <c r="BT374" s="8" t="str">
        <f t="shared" si="8"/>
        <v>OKOK</v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>
        <v>0.44166666666666665</v>
      </c>
      <c r="AS375" s="108">
        <v>0.50347222222222221</v>
      </c>
      <c r="AT375" s="108">
        <v>0.56597222222222221</v>
      </c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6.25E-2</v>
      </c>
      <c r="AZ375" s="153"/>
      <c r="BA375" s="109">
        <v>40</v>
      </c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>
        <v>2</v>
      </c>
      <c r="BI375" s="17"/>
      <c r="BJ375" s="17" t="s">
        <v>1523</v>
      </c>
      <c r="BK375" s="18" t="s">
        <v>1524</v>
      </c>
      <c r="BL375" s="16"/>
      <c r="BM375" s="130" t="s">
        <v>410</v>
      </c>
      <c r="BN375" s="130" t="s">
        <v>410</v>
      </c>
      <c r="BO375" s="130" t="s">
        <v>410</v>
      </c>
      <c r="BP375" s="18"/>
      <c r="BQ375" s="12" t="str">
        <f>IF(AND(BR375&lt;1,BS375&lt;1),"Produção e Intervalo",IF(BR375&lt;1,"Intervalo",IF(BS375&lt;1,"Produção","Aderente")))</f>
        <v>Intervalo</v>
      </c>
      <c r="BR375" s="19">
        <f>IF(OR(B375="",F375=""),"*",AY375/P375)</f>
        <v>0.75</v>
      </c>
      <c r="BS375" s="19">
        <f>IF(OR(B375="",F375=""),"*",BA375/Q375)</f>
        <v>1.3333333333333333</v>
      </c>
      <c r="BT375" s="8" t="str">
        <f t="shared" si="8"/>
        <v>OKOK</v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>
        <v>0.39513888888888887</v>
      </c>
      <c r="AS376" s="108">
        <v>0</v>
      </c>
      <c r="AT376" s="108">
        <v>0</v>
      </c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>
        <v>0</v>
      </c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>
        <v>0</v>
      </c>
      <c r="BI376" s="17"/>
      <c r="BJ376" s="17" t="s">
        <v>1525</v>
      </c>
      <c r="BK376" s="17" t="s">
        <v>1525</v>
      </c>
      <c r="BL376" s="16"/>
      <c r="BM376" s="130" t="s">
        <v>405</v>
      </c>
      <c r="BN376" s="130" t="s">
        <v>434</v>
      </c>
      <c r="BO376" s="130" t="s">
        <v>495</v>
      </c>
      <c r="BP376" s="17" t="s">
        <v>1525</v>
      </c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>CCOCirculaçãoIntervaloOportunidade</v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1526</v>
      </c>
      <c r="X378" s="104" t="s">
        <v>381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>
        <v>0.41666666666666669</v>
      </c>
      <c r="AS378" s="108">
        <v>0.41666666666666669</v>
      </c>
      <c r="AT378" s="108">
        <v>0.83333333333333337</v>
      </c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0.41666666666666669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>
        <v>1</v>
      </c>
      <c r="BI378" s="17"/>
      <c r="BJ378" s="17" t="s">
        <v>1527</v>
      </c>
      <c r="BK378" s="17" t="s">
        <v>1527</v>
      </c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</v>
      </c>
      <c r="BR378" s="19">
        <f>IF(OR(B378="",F378=""),"*",AY378/P378)</f>
        <v>1.2500000000000002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1528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>
        <v>0</v>
      </c>
      <c r="AT379" s="108">
        <v>6.9444444444444447E-4</v>
      </c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6.9444444444444447E-4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>
        <v>1</v>
      </c>
      <c r="BI379" s="17"/>
      <c r="BJ379" s="17" t="s">
        <v>1527</v>
      </c>
      <c r="BK379" s="17" t="s">
        <v>1527</v>
      </c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1529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>
        <v>0</v>
      </c>
      <c r="AT380" s="108">
        <v>6.9444444444444447E-4</v>
      </c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6.9444444444444447E-4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>
        <v>1</v>
      </c>
      <c r="BI380" s="17"/>
      <c r="BJ380" s="17" t="s">
        <v>1527</v>
      </c>
      <c r="BK380" s="17" t="s">
        <v>1527</v>
      </c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1530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>
        <v>0</v>
      </c>
      <c r="AT381" s="108">
        <v>6.9444444444444447E-4</v>
      </c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6.9444444444444447E-4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>
        <v>1</v>
      </c>
      <c r="BI381" s="17"/>
      <c r="BJ381" s="17" t="s">
        <v>1527</v>
      </c>
      <c r="BK381" s="17" t="s">
        <v>1527</v>
      </c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1531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>
        <v>0</v>
      </c>
      <c r="AT382" s="108">
        <v>6.9444444444444447E-4</v>
      </c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6.9444444444444447E-4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>
        <v>1</v>
      </c>
      <c r="BI382" s="17"/>
      <c r="BJ382" s="17" t="s">
        <v>1527</v>
      </c>
      <c r="BK382" s="17" t="s">
        <v>1527</v>
      </c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1531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>
        <v>0</v>
      </c>
      <c r="AT383" s="108">
        <v>6.9444444444444447E-4</v>
      </c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6.9444444444444447E-4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>
        <v>1</v>
      </c>
      <c r="BI383" s="17"/>
      <c r="BJ383" s="17" t="s">
        <v>1527</v>
      </c>
      <c r="BK383" s="17" t="s">
        <v>1527</v>
      </c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>
        <v>0.41666666666666669</v>
      </c>
      <c r="AS384" s="108">
        <v>0</v>
      </c>
      <c r="AT384" s="108">
        <v>6.9444444444444447E-4</v>
      </c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6.9444444444444447E-4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1</v>
      </c>
      <c r="BI384" s="17"/>
      <c r="BJ384" s="17" t="s">
        <v>1527</v>
      </c>
      <c r="BK384" s="17" t="s">
        <v>1527</v>
      </c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>
        <v>0.53819444444444442</v>
      </c>
      <c r="AT386" s="108">
        <v>0.57986111111111116</v>
      </c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4.1666666666666741E-2</v>
      </c>
      <c r="AZ386" s="153"/>
      <c r="BA386" s="109">
        <v>60</v>
      </c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>
        <v>2</v>
      </c>
      <c r="BI386" s="17"/>
      <c r="BJ386" s="17" t="s">
        <v>1532</v>
      </c>
      <c r="BK386" s="17" t="s">
        <v>1533</v>
      </c>
      <c r="BL386" s="16" t="s">
        <v>1534</v>
      </c>
      <c r="BM386" s="130" t="s">
        <v>405</v>
      </c>
      <c r="BN386" s="130" t="s">
        <v>434</v>
      </c>
      <c r="BO386" s="130" t="s">
        <v>512</v>
      </c>
      <c r="BP386" s="17" t="s">
        <v>1535</v>
      </c>
      <c r="BQ386" s="12" t="str">
        <f>IF(AND(BR386&lt;1,BS386&lt;1),"Produção e Intervalo",IF(BR386&lt;1,"Intervalo",IF(BS386&lt;1,"Produção","Aderente")))</f>
        <v>Intervalo</v>
      </c>
      <c r="BR386" s="19">
        <f>IF(OR(B386="",F386=""),"*",AY386/P386)</f>
        <v>0.50000000000000089</v>
      </c>
      <c r="BS386" s="19">
        <f>IF(OR(B386="",F386=""),"*",BA386/Q386)</f>
        <v>2</v>
      </c>
      <c r="BT386" s="8" t="str">
        <f t="shared" si="8"/>
        <v>CCOCirculaçãoIntervaloOportunidade</v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1369</v>
      </c>
      <c r="BK387" s="17" t="s">
        <v>1369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1369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>
        <v>0.38680555555555557</v>
      </c>
      <c r="AS388" s="108">
        <v>0</v>
      </c>
      <c r="AT388" s="108">
        <v>0</v>
      </c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>
        <v>0</v>
      </c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>
        <v>0</v>
      </c>
      <c r="BI388" s="17"/>
      <c r="BJ388" s="17" t="s">
        <v>1536</v>
      </c>
      <c r="BK388" s="17" t="s">
        <v>1536</v>
      </c>
      <c r="BL388" s="16"/>
      <c r="BM388" s="130" t="s">
        <v>405</v>
      </c>
      <c r="BN388" s="130" t="s">
        <v>434</v>
      </c>
      <c r="BO388" s="130" t="s">
        <v>495</v>
      </c>
      <c r="BP388" s="17" t="s">
        <v>1536</v>
      </c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>CCOCirculaçãoIntervaloOportunidade</v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>
        <v>0.52777777777777779</v>
      </c>
      <c r="AS389" s="108">
        <v>0.56597222222222221</v>
      </c>
      <c r="AT389" s="108">
        <v>0.67013888888888884</v>
      </c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0.10416666666666663</v>
      </c>
      <c r="AZ389" s="153"/>
      <c r="BA389" s="109">
        <v>2</v>
      </c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>
        <v>2</v>
      </c>
      <c r="BI389" s="17"/>
      <c r="BJ389" s="17" t="s">
        <v>1321</v>
      </c>
      <c r="BK389" s="18" t="s">
        <v>1537</v>
      </c>
      <c r="BL389" s="16"/>
      <c r="BM389" s="130" t="s">
        <v>406</v>
      </c>
      <c r="BN389" s="130" t="s">
        <v>435</v>
      </c>
      <c r="BO389" s="130" t="s">
        <v>542</v>
      </c>
      <c r="BP389" s="18" t="s">
        <v>1537</v>
      </c>
      <c r="BQ389" s="12" t="str">
        <f>IF(AND(BR389&lt;1,BS389&lt;1),"Produção e Intervalo",IF(BR389&lt;1,"Intervalo",IF(BS389&lt;1,"Produção","Aderente")))</f>
        <v>Intervalo</v>
      </c>
      <c r="BR389" s="19">
        <f>IF(OR(B389="",F389=""),"*",AY389/P389)</f>
        <v>0.83333333333333304</v>
      </c>
      <c r="BS389" s="19">
        <f>IF(OR(B389="",F389=""),"*",BA389/Q389)</f>
        <v>1</v>
      </c>
      <c r="BT389" s="8" t="str">
        <f t="shared" si="8"/>
        <v>SuperExecução</v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1526</v>
      </c>
      <c r="X390" s="104" t="s">
        <v>381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>
        <v>0.41666666666666669</v>
      </c>
      <c r="AS390" s="108">
        <v>0.50208333333333333</v>
      </c>
      <c r="AT390" s="108">
        <v>0.8354166666666667</v>
      </c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0.33333333333333337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>
        <v>1</v>
      </c>
      <c r="BI390" s="17"/>
      <c r="BJ390" s="17" t="s">
        <v>1538</v>
      </c>
      <c r="BK390" s="18" t="s">
        <v>1539</v>
      </c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</v>
      </c>
      <c r="BR390" s="19">
        <f>IF(OR(B390="",F390=""),"*",AY390/P390)</f>
        <v>1.4545454545454548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>
        <v>0.52083333333333337</v>
      </c>
      <c r="AS391" s="108">
        <v>0</v>
      </c>
      <c r="AT391" s="108">
        <v>6.9444444444444447E-4</v>
      </c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6.9444444444444447E-4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>
        <v>1</v>
      </c>
      <c r="BI391" s="17"/>
      <c r="BJ391" s="17" t="s">
        <v>1540</v>
      </c>
      <c r="BK391" s="18" t="s">
        <v>1541</v>
      </c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1542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>
        <v>0.41666666666666669</v>
      </c>
      <c r="AS392" s="108">
        <v>0</v>
      </c>
      <c r="AT392" s="108">
        <v>6.9444444444444447E-4</v>
      </c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6.9444444444444447E-4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1</v>
      </c>
      <c r="BI392" s="17"/>
      <c r="BJ392" s="17" t="s">
        <v>1540</v>
      </c>
      <c r="BK392" s="18" t="s">
        <v>1539</v>
      </c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1369</v>
      </c>
      <c r="BK393" s="17" t="s">
        <v>1369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1369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1369</v>
      </c>
      <c r="BK394" s="17" t="s">
        <v>1369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1369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>
        <v>0</v>
      </c>
      <c r="AT395" s="108">
        <v>0</v>
      </c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>
        <v>0</v>
      </c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>
        <v>0</v>
      </c>
      <c r="BI395" s="17"/>
      <c r="BJ395" s="17" t="s">
        <v>1543</v>
      </c>
      <c r="BK395" s="17" t="s">
        <v>1543</v>
      </c>
      <c r="BL395" s="16"/>
      <c r="BM395" s="130" t="s">
        <v>405</v>
      </c>
      <c r="BN395" s="130" t="s">
        <v>434</v>
      </c>
      <c r="BO395" s="130" t="s">
        <v>495</v>
      </c>
      <c r="BP395" s="17" t="s">
        <v>1543</v>
      </c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>CCOCirculaçãoIntervaloOportunidade</v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1544</v>
      </c>
      <c r="J396" s="105">
        <v>54</v>
      </c>
      <c r="K396" s="105">
        <v>106</v>
      </c>
      <c r="L396" s="105"/>
      <c r="M396" s="127" t="s">
        <v>1545</v>
      </c>
      <c r="N396" s="127" t="s">
        <v>1545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>
        <v>0</v>
      </c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>
        <v>0</v>
      </c>
      <c r="BI396" s="17"/>
      <c r="BJ396" s="17" t="s">
        <v>1546</v>
      </c>
      <c r="BK396" s="17" t="s">
        <v>1546</v>
      </c>
      <c r="BL396" s="16"/>
      <c r="BM396" s="130" t="s">
        <v>405</v>
      </c>
      <c r="BN396" s="130" t="s">
        <v>434</v>
      </c>
      <c r="BO396" s="130" t="s">
        <v>495</v>
      </c>
      <c r="BP396" s="17" t="s">
        <v>1546</v>
      </c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>CCOCirculaçãoIntervaloOportunidade</v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>KLECIO (TP-699)46094</v>
      </c>
      <c r="B399" s="102">
        <v>46094</v>
      </c>
      <c r="C399" s="135">
        <f>IF(BS_CONTROLE[[#This Row],[DATA]]="","",WEEKNUM(BS_CONTROLE[[#This Row],[DATA]]))</f>
        <v>11</v>
      </c>
      <c r="D399" s="104" t="s">
        <v>876</v>
      </c>
      <c r="E399" s="159">
        <v>354</v>
      </c>
      <c r="F399" s="126" t="s">
        <v>740</v>
      </c>
      <c r="G399" s="142" t="str">
        <f>IF(D399="","*",VLOOKUP(F399,BS_ATIVIDADE[],3,FALSE))</f>
        <v>SOLDA</v>
      </c>
      <c r="H399" s="106" t="s">
        <v>558</v>
      </c>
      <c r="I399" s="106" t="s">
        <v>558</v>
      </c>
      <c r="J399" s="105">
        <v>70</v>
      </c>
      <c r="K399" s="105">
        <v>97.3</v>
      </c>
      <c r="L399" s="105" t="s">
        <v>558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99" s="106">
        <v>0.375</v>
      </c>
      <c r="P399" s="106">
        <v>6.25E-2</v>
      </c>
      <c r="Q399" s="105">
        <v>1</v>
      </c>
      <c r="R399" s="10" t="str">
        <f>IFERROR(_xlfn.XLOOKUP(F399, BS_ATIVIDADE[ATIVIDADE],BS_ATIVIDADE[UNIDADE] ), "*")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9" s="105" t="s">
        <v>1058</v>
      </c>
      <c r="W399" s="151" t="s">
        <v>1025</v>
      </c>
      <c r="X399" s="104" t="s">
        <v>386</v>
      </c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PDM - SOLDA</v>
      </c>
      <c r="AJ399" s="9" t="str">
        <f>IF(BS_CONTROLE[[#This Row],[Atividade]]=0, "-", BS_CONTROLE[[#This Row],[Atividade]])</f>
        <v>PDM - SOLDA</v>
      </c>
      <c r="AK399" s="31" t="str">
        <f>BS_CONTROLE[[#This Row],[Local - Partida]]</f>
        <v>-</v>
      </c>
      <c r="AL399" s="31" t="str">
        <f>BS_CONTROLE[[#This Row],[Local - Encerramento]]</f>
        <v>-</v>
      </c>
      <c r="AM399" s="105" t="str">
        <f>IF(BS_CONTROLE[[#This Row],[Entre - Estações]]=0, "-", BS_CONTROLE[[#This Row],[Entre - Estações]])</f>
        <v>ZTT</v>
      </c>
      <c r="AN399" s="105" t="str">
        <f>IF(BS_CONTROLE[[#This Row],[SB]]=0, "-", BS_CONTROLE[[#This Row],[SB]])</f>
        <v>ZTTK971</v>
      </c>
      <c r="AO399" s="105">
        <f>IF(BS_CONTROLE[[#This Row],[SUB]]=0, "-", BS_CONTROLE[[#This Row],[SUB]])</f>
        <v>70</v>
      </c>
      <c r="AP399" s="105">
        <f>BS_CONTROLE[[#This Row],[KM - Inicio]]</f>
        <v>97.3</v>
      </c>
      <c r="AQ399" s="105">
        <f>BS_CONTROLE[[#This Row],[KM - Inicio]]</f>
        <v>97.3</v>
      </c>
      <c r="AR399" s="108"/>
      <c r="AS399" s="108"/>
      <c r="AT399" s="108"/>
      <c r="AU399" s="136"/>
      <c r="AV399" s="136"/>
      <c r="AW399" s="14"/>
      <c r="AX399" s="14"/>
      <c r="AY399" s="164">
        <f>IF(D399="","*",IFERROR(IF(ISODD(COUNT(AS399:AX399)),"ERRO",SUM((AT399-AS399),(AV399-AU399),(AX399-AW399))),"ERRO"))</f>
        <v>0</v>
      </c>
      <c r="AZ399" s="153"/>
      <c r="BA399" s="109"/>
      <c r="BB399" s="10" t="str">
        <f>IFERROR(_xlfn.XLOOKUP(AI399, BS_ATIVIDADE[ATIVIDADE],BS_ATIVIDADE[UNIDADE] ), "*")</f>
        <v>Nº DE SOLDA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Produção e Intervalo</v>
      </c>
      <c r="BR399" s="19">
        <f>IF(OR(B399="",F399=""),"*",AY399/P399)</f>
        <v>0</v>
      </c>
      <c r="BS399" s="19">
        <f>IF(OR(B399="",F399=""),"*",BA399/Q399)</f>
        <v>0</v>
      </c>
      <c r="BT399" s="8" t="str">
        <f t="shared" si="9"/>
        <v/>
      </c>
    </row>
    <row r="400" spans="1:72" hidden="1">
      <c r="A400" s="47" t="str">
        <f>D400&amp;B400</f>
        <v>V9246094</v>
      </c>
      <c r="B400" s="102">
        <v>46094</v>
      </c>
      <c r="C400" s="135">
        <f>IF(BS_CONTROLE[[#This Row],[DATA]]="","",WEEKNUM(BS_CONTROLE[[#This Row],[DATA]]))</f>
        <v>11</v>
      </c>
      <c r="D400" s="104" t="s">
        <v>772</v>
      </c>
      <c r="E400" s="159">
        <v>174</v>
      </c>
      <c r="F400" s="126" t="s">
        <v>663</v>
      </c>
      <c r="G400" s="142" t="str">
        <f>IF(D400="","*",VLOOKUP(F400,BS_ATIVIDADE[],3,FALSE))</f>
        <v>MECANIZAÇÃO - SOCADORA</v>
      </c>
      <c r="H400" s="106" t="s">
        <v>1057</v>
      </c>
      <c r="I400" s="106" t="s">
        <v>1057</v>
      </c>
      <c r="J400" s="105">
        <v>70</v>
      </c>
      <c r="K400" s="105">
        <v>82.5</v>
      </c>
      <c r="L400" s="105">
        <v>83.3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00" s="106">
        <v>0.375</v>
      </c>
      <c r="P400" s="106">
        <v>8.3333333333333329E-2</v>
      </c>
      <c r="Q400" s="105">
        <v>200</v>
      </c>
      <c r="R400" s="10" t="str">
        <f>IFERROR(_xlfn.XLOOKUP(F400, BS_ATIVIDADE[ATIVIDADE],BS_ATIVIDADE[UNIDADE] ), "*")</f>
        <v>M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0" s="105" t="s">
        <v>1058</v>
      </c>
      <c r="W400" s="151" t="s">
        <v>1013</v>
      </c>
      <c r="X400" s="104" t="s">
        <v>386</v>
      </c>
      <c r="Y400" s="129"/>
      <c r="Z400" s="104"/>
      <c r="AA400" s="105" t="s">
        <v>1409</v>
      </c>
      <c r="AB400" s="103" t="s">
        <v>377</v>
      </c>
      <c r="AC400" s="152" t="s">
        <v>371</v>
      </c>
      <c r="AD400" s="107">
        <v>0.35416666666666669</v>
      </c>
      <c r="AE400" s="105" t="s">
        <v>558</v>
      </c>
      <c r="AF400" s="105" t="s">
        <v>558</v>
      </c>
      <c r="AG400" s="105"/>
      <c r="AH400" s="15"/>
      <c r="AI400" s="126" t="str">
        <f>IF(BS_CONTROLE[[#This Row],[Atividade]]=0, "-", BS_CONTROLE[[#This Row],[Atividade]])</f>
        <v>MECANIZAÇÃO - SOCADORA</v>
      </c>
      <c r="AJ400" s="9" t="str">
        <f>IF(BS_CONTROLE[[#This Row],[Atividade]]=0, "-", BS_CONTROLE[[#This Row],[Atividade]])</f>
        <v>MECANIZAÇÃO - SOCADORA</v>
      </c>
      <c r="AK400" s="31" t="str">
        <f>BS_CONTROLE[[#This Row],[Local - Partida]]</f>
        <v>ZAC-2</v>
      </c>
      <c r="AL400" s="31" t="str">
        <f>BS_CONTROLE[[#This Row],[Local - Encerramento]]</f>
        <v>ZAC-2</v>
      </c>
      <c r="AM400" s="105" t="str">
        <f>IF(BS_CONTROLE[[#This Row],[Entre - Estações]]=0, "-", BS_CONTROLE[[#This Row],[Entre - Estações]])</f>
        <v>ZAC-ZSW</v>
      </c>
      <c r="AN400" s="105" t="str">
        <f>IF(BS_CONTROLE[[#This Row],[SB]]=0, "-", BS_CONTROLE[[#This Row],[SB]])</f>
        <v>ZACZSW</v>
      </c>
      <c r="AO400" s="105">
        <f>IF(BS_CONTROLE[[#This Row],[SUB]]=0, "-", BS_CONTROLE[[#This Row],[SUB]])</f>
        <v>70</v>
      </c>
      <c r="AP400" s="105">
        <f>BS_CONTROLE[[#This Row],[KM - Inicio]]</f>
        <v>82.5</v>
      </c>
      <c r="AQ400" s="105">
        <f>BS_CONTROLE[[#This Row],[KM - Inicio]]</f>
        <v>82.5</v>
      </c>
      <c r="AR400" s="108"/>
      <c r="AS400" s="108"/>
      <c r="AT400" s="108"/>
      <c r="AU400" s="136"/>
      <c r="AV400" s="136"/>
      <c r="AW400" s="14"/>
      <c r="AX400" s="14"/>
      <c r="AY400" s="164">
        <f>IF(D400="","*",IFERROR(IF(ISODD(COUNT(AS400:AX400)),"ERRO",SUM((AT400-AS400),(AV400-AU400),(AX400-AW400))),"ERRO"))</f>
        <v>0</v>
      </c>
      <c r="AZ400" s="153"/>
      <c r="BA400" s="109"/>
      <c r="BB400" s="10" t="str">
        <f>IFERROR(_xlfn.XLOOKUP(AI400, BS_ATIVIDADE[ATIVIDADE],BS_ATIVIDADE[UNIDADE] ), "*")</f>
        <v>M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Produção e Intervalo</v>
      </c>
      <c r="BR400" s="19">
        <f>IF(OR(B400="",F400=""),"*",AY400/P400)</f>
        <v>0</v>
      </c>
      <c r="BS400" s="19">
        <f>IF(OR(B400="",F400=""),"*",BA400/Q400)</f>
        <v>0</v>
      </c>
      <c r="BT400" s="8" t="str">
        <f t="shared" si="9"/>
        <v/>
      </c>
    </row>
    <row r="401" spans="1:72" hidden="1">
      <c r="A401" s="47" t="str">
        <f>D401&amp;B401</f>
        <v xml:space="preserve">TURMA FIXA VIA </v>
      </c>
      <c r="B401" s="102"/>
      <c r="C401" s="135" t="str">
        <f>IF(BS_CONTROLE[[#This Row],[DATA]]="","",WEEKNUM(BS_CONTROLE[[#This Row],[DATA]]))</f>
        <v/>
      </c>
      <c r="D401" s="104" t="s">
        <v>810</v>
      </c>
      <c r="E401" s="159">
        <v>174</v>
      </c>
      <c r="F401" s="126" t="s">
        <v>747</v>
      </c>
      <c r="G401" s="142" t="str">
        <f>IF(D401="","*",VLOOKUP(F401,BS_ATIVIDADE[],3,FALSE))</f>
        <v>TRILHO - SUBSTITUIÇÂO</v>
      </c>
      <c r="H401" s="106" t="s">
        <v>558</v>
      </c>
      <c r="I401" s="106" t="s">
        <v>558</v>
      </c>
      <c r="J401" s="105">
        <v>68</v>
      </c>
      <c r="K401" s="105">
        <v>56.2</v>
      </c>
      <c r="L401" s="105" t="s">
        <v>558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01" s="127" t="s">
        <v>272</v>
      </c>
      <c r="O401" s="106">
        <v>0.54166666666666663</v>
      </c>
      <c r="P401" s="106">
        <v>0.16666666666666666</v>
      </c>
      <c r="Q401" s="105">
        <v>624</v>
      </c>
      <c r="R401" s="10" t="str">
        <f>IFERROR(_xlfn.XLOOKUP(F401, BS_ATIVIDADE[ATIVIDADE],BS_ATIVIDADE[UNIDADE] ), "*")</f>
        <v>M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1058</v>
      </c>
      <c r="W401" s="151" t="s">
        <v>1187</v>
      </c>
      <c r="X401" s="104" t="s">
        <v>381</v>
      </c>
      <c r="Y401" s="129"/>
      <c r="Z401" s="104"/>
      <c r="AA401" s="105" t="s">
        <v>558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SUBSTITUIÇÃO - TRILHO</v>
      </c>
      <c r="AJ401" s="9" t="str">
        <f>IF(BS_CONTROLE[[#This Row],[Atividade]]=0, "-", BS_CONTROLE[[#This Row],[Atividade]])</f>
        <v>PDM - SUBSTITUIÇÃO - TRILHO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ZBM</v>
      </c>
      <c r="AN401" s="105" t="str">
        <f>IF(BS_CONTROLE[[#This Row],[SB]]=0, "-", BS_CONTROLE[[#This Row],[SB]])</f>
        <v>ZBMK571</v>
      </c>
      <c r="AO401" s="105">
        <f>IF(BS_CONTROLE[[#This Row],[SUB]]=0, "-", BS_CONTROLE[[#This Row],[SUB]])</f>
        <v>68</v>
      </c>
      <c r="AP401" s="105">
        <f>BS_CONTROLE[[#This Row],[KM - Inicio]]</f>
        <v>56.2</v>
      </c>
      <c r="AQ401" s="105">
        <f>BS_CONTROLE[[#This Row],[KM - Inicio]]</f>
        <v>56.2</v>
      </c>
      <c r="AR401" s="108"/>
      <c r="AS401" s="108"/>
      <c r="AT401" s="108"/>
      <c r="AU401" s="136"/>
      <c r="AV401" s="136"/>
      <c r="AW401" s="14"/>
      <c r="AX401" s="14"/>
      <c r="AY401" s="164">
        <f>IF(D401="","*",IFERROR(IF(ISODD(COUNT(AS401:AX401)),"ERRO",SUM((AT401-AS401),(AV401-AU401),(AX401-AW401))),"ERRO"))</f>
        <v>0</v>
      </c>
      <c r="AZ401" s="153"/>
      <c r="BA401" s="109"/>
      <c r="BB401" s="10" t="str">
        <f>IFERROR(_xlfn.XLOOKUP(AI401, BS_ATIVIDADE[ATIVIDADE],BS_ATIVIDADE[UNIDADE] ), "*")</f>
        <v>M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>W5946094</v>
      </c>
      <c r="B403" s="102">
        <v>46094</v>
      </c>
      <c r="C403" s="135">
        <f>IF(BS_CONTROLE[[#This Row],[DATA]]="","",WEEKNUM(BS_CONTROLE[[#This Row],[DATA]]))</f>
        <v>11</v>
      </c>
      <c r="D403" s="104" t="s">
        <v>790</v>
      </c>
      <c r="E403" s="159">
        <v>356</v>
      </c>
      <c r="F403" s="126" t="s">
        <v>721</v>
      </c>
      <c r="G403" s="142" t="str">
        <f>IF(D403="","*",VLOOKUP(F403,BS_ATIVIDADE[],3,FALSE))</f>
        <v>DORMENTE - DESCARGA</v>
      </c>
      <c r="H403" s="106" t="s">
        <v>1513</v>
      </c>
      <c r="I403" s="106" t="s">
        <v>1513</v>
      </c>
      <c r="J403" s="105">
        <v>56</v>
      </c>
      <c r="K403" s="105">
        <v>253.7</v>
      </c>
      <c r="L403" s="105">
        <v>252.042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3" s="106">
        <v>0.33333333333333331</v>
      </c>
      <c r="P403" s="106">
        <v>6.25E-2</v>
      </c>
      <c r="Q403" s="105">
        <v>567</v>
      </c>
      <c r="R403" s="10" t="str">
        <f>IFERROR(_xlfn.XLOOKUP(F403, BS_ATIVIDADE[ATIVIDADE],BS_ATIVIDADE[UNIDADE] ), "*")</f>
        <v>Nº DE DORMENTES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3" s="105" t="s">
        <v>1284</v>
      </c>
      <c r="W403" s="151" t="s">
        <v>1514</v>
      </c>
      <c r="X403" s="104" t="s">
        <v>386</v>
      </c>
      <c r="Y403" s="129"/>
      <c r="Z403" s="104"/>
      <c r="AA403" s="105" t="s">
        <v>1176</v>
      </c>
      <c r="AB403" s="103" t="s">
        <v>377</v>
      </c>
      <c r="AC403" s="152" t="s">
        <v>371</v>
      </c>
      <c r="AD403" s="107">
        <v>0.29166666666666669</v>
      </c>
      <c r="AE403" s="105">
        <v>7629</v>
      </c>
      <c r="AF403" s="105"/>
      <c r="AG403" s="105"/>
      <c r="AH403" s="15"/>
      <c r="AI403" s="126" t="str">
        <f>IF(BS_CONTROLE[[#This Row],[Atividade]]=0, "-", BS_CONTROLE[[#This Row],[Atividade]])</f>
        <v>PDM - DESCARGA - DORMENTE</v>
      </c>
      <c r="AJ403" s="9" t="str">
        <f>IF(BS_CONTROLE[[#This Row],[Atividade]]=0, "-", BS_CONTROLE[[#This Row],[Atividade]])</f>
        <v>PDM - DESCARGA - DORMENTE</v>
      </c>
      <c r="AK403" s="31" t="str">
        <f>BS_CONTROLE[[#This Row],[Local - Partida]]</f>
        <v>ZYU-1</v>
      </c>
      <c r="AL403" s="31" t="str">
        <f>BS_CONTROLE[[#This Row],[Local - Encerramento]]</f>
        <v>ZYU-1</v>
      </c>
      <c r="AM403" s="105" t="str">
        <f>IF(BS_CONTROLE[[#This Row],[Entre - Estações]]=0, "-", BS_CONTROLE[[#This Row],[Entre - Estações]])</f>
        <v>ZQB-ZBV</v>
      </c>
      <c r="AN403" s="105" t="str">
        <f>IF(BS_CONTROLE[[#This Row],[SB]]=0, "-", BS_CONTROLE[[#This Row],[SB]])</f>
        <v>ZQBZBL</v>
      </c>
      <c r="AO403" s="105">
        <f>IF(BS_CONTROLE[[#This Row],[SUB]]=0, "-", BS_CONTROLE[[#This Row],[SUB]])</f>
        <v>56</v>
      </c>
      <c r="AP403" s="105">
        <f>BS_CONTROLE[[#This Row],[KM - Inicio]]</f>
        <v>253.7</v>
      </c>
      <c r="AQ403" s="105">
        <f>BS_CONTROLE[[#This Row],[KM - Inicio]]</f>
        <v>253.7</v>
      </c>
      <c r="AR403" s="108"/>
      <c r="AS403" s="108"/>
      <c r="AT403" s="108"/>
      <c r="AU403" s="136"/>
      <c r="AV403" s="136"/>
      <c r="AW403" s="14"/>
      <c r="AX403" s="14"/>
      <c r="AY403" s="164">
        <f>IF(D403="","*",IFERROR(IF(ISODD(COUNT(AS403:AX403)),"ERRO",SUM((AT403-AS403),(AV403-AU403),(AX403-AW403))),"ERRO"))</f>
        <v>0</v>
      </c>
      <c r="AZ403" s="153"/>
      <c r="BA403" s="109"/>
      <c r="BB403" s="10" t="str">
        <f>IFERROR(_xlfn.XLOOKUP(AI403, BS_ATIVIDADE[ATIVIDADE],BS_ATIVIDADE[UNIDADE] ), "*")</f>
        <v>Nº DE DORMENTES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Produção e Intervalo</v>
      </c>
      <c r="BR403" s="19">
        <f>IF(OR(B403="",F403=""),"*",AY403/P403)</f>
        <v>0</v>
      </c>
      <c r="BS403" s="19">
        <f>IF(OR(B403="",F403=""),"*",BA403/Q403)</f>
        <v>0</v>
      </c>
      <c r="BT403" s="8" t="str">
        <f t="shared" si="9"/>
        <v/>
      </c>
    </row>
    <row r="404" spans="1:72" hidden="1">
      <c r="A404" s="47" t="str">
        <f>D404&amp;B404</f>
        <v>JOSÉ (TP-879)46094</v>
      </c>
      <c r="B404" s="102">
        <v>46094</v>
      </c>
      <c r="C404" s="135">
        <f>IF(BS_CONTROLE[[#This Row],[DATA]]="","",WEEKNUM(BS_CONTROLE[[#This Row],[DATA]]))</f>
        <v>11</v>
      </c>
      <c r="D404" s="104" t="s">
        <v>865</v>
      </c>
      <c r="E404" s="159">
        <v>325</v>
      </c>
      <c r="F404" s="126" t="s">
        <v>744</v>
      </c>
      <c r="G404" s="142" t="str">
        <f>IF(D404="","*",VLOOKUP(F404,BS_ATIVIDADE[],3,FALSE))</f>
        <v>DORMENTE - SUBSTITUIÇÂO</v>
      </c>
      <c r="H404" s="106" t="s">
        <v>558</v>
      </c>
      <c r="I404" s="106"/>
      <c r="J404" s="105">
        <v>56</v>
      </c>
      <c r="K404" s="105">
        <v>253.7</v>
      </c>
      <c r="L404" s="105" t="s">
        <v>558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4" s="106">
        <v>0.375</v>
      </c>
      <c r="P404" s="106">
        <v>6.25E-2</v>
      </c>
      <c r="Q404" s="105">
        <v>30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4" s="105" t="s">
        <v>1284</v>
      </c>
      <c r="W404" s="151" t="s">
        <v>1054</v>
      </c>
      <c r="X404" s="104" t="s">
        <v>386</v>
      </c>
      <c r="Y404" s="129"/>
      <c r="Z404" s="104"/>
      <c r="AA404" s="105" t="s">
        <v>558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ZQB-ZBV</v>
      </c>
      <c r="AN404" s="105" t="str">
        <f>IF(BS_CONTROLE[[#This Row],[SB]]=0, "-", BS_CONTROLE[[#This Row],[SB]])</f>
        <v>ZQBZBL</v>
      </c>
      <c r="AO404" s="105">
        <f>IF(BS_CONTROLE[[#This Row],[SUB]]=0, "-", BS_CONTROLE[[#This Row],[SUB]])</f>
        <v>56</v>
      </c>
      <c r="AP404" s="105">
        <f>BS_CONTROLE[[#This Row],[KM - Inicio]]</f>
        <v>253.7</v>
      </c>
      <c r="AQ404" s="105">
        <f>BS_CONTROLE[[#This Row],[KM - Inicio]]</f>
        <v>253.7</v>
      </c>
      <c r="AR404" s="108"/>
      <c r="AS404" s="108"/>
      <c r="AT404" s="108"/>
      <c r="AU404" s="136"/>
      <c r="AV404" s="136"/>
      <c r="AW404" s="14"/>
      <c r="AX404" s="14"/>
      <c r="AY404" s="164">
        <f>IF(D404="","*",IFERROR(IF(ISODD(COUNT(AS404:AX404)),"ERRO",SUM((AT404-AS404),(AV404-AU404),(AX404-AW404))),"ERRO"))</f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Produção e Intervalo</v>
      </c>
      <c r="BR404" s="19">
        <f>IF(OR(B404="",F404=""),"*",AY404/P404)</f>
        <v>0</v>
      </c>
      <c r="BS404" s="19">
        <f>IF(OR(B404="",F404=""),"*",BA404/Q404)</f>
        <v>0</v>
      </c>
      <c r="BT404" s="8" t="str">
        <f t="shared" si="9"/>
        <v/>
      </c>
    </row>
    <row r="405" spans="1:72" hidden="1">
      <c r="A405" s="47" t="str">
        <f>D405&amp;B405</f>
        <v>EDSON/NIVALDO (TP-819)46094</v>
      </c>
      <c r="B405" s="102">
        <v>46094</v>
      </c>
      <c r="C405" s="135">
        <f>IF(BS_CONTROLE[[#This Row],[DATA]]="","",WEEKNUM(BS_CONTROLE[[#This Row],[DATA]]))</f>
        <v>11</v>
      </c>
      <c r="D405" s="104" t="s">
        <v>842</v>
      </c>
      <c r="E405" s="159">
        <v>30</v>
      </c>
      <c r="F405" s="126" t="s">
        <v>744</v>
      </c>
      <c r="G405" s="142" t="str">
        <f>IF(D405="","*",VLOOKUP(F405,BS_ATIVIDADE[],3,FALSE))</f>
        <v>DORMENTE - SUBSTITUIÇÂO</v>
      </c>
      <c r="H405" s="106" t="s">
        <v>558</v>
      </c>
      <c r="I405" s="106" t="s">
        <v>558</v>
      </c>
      <c r="J405" s="105">
        <v>49</v>
      </c>
      <c r="K405" s="105">
        <v>224.45</v>
      </c>
      <c r="L405" s="105" t="s">
        <v>558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6.25E-2</v>
      </c>
      <c r="Q405" s="105">
        <v>40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1284</v>
      </c>
      <c r="W405" s="151" t="s">
        <v>1092</v>
      </c>
      <c r="X405" s="104" t="s">
        <v>386</v>
      </c>
      <c r="Y405" s="129"/>
      <c r="Z405" s="104"/>
      <c r="AA405" s="105" t="s">
        <v>558</v>
      </c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PDM - SUBSTITUIÇÃO - DORMENTE</v>
      </c>
      <c r="AJ405" s="9" t="str">
        <f>IF(BS_CONTROLE[[#This Row],[Atividade]]=0, "-", BS_CONTROLE[[#This Row],[Atividade]])</f>
        <v>PDM - SUBSTITUIÇÃO - DORMENTE</v>
      </c>
      <c r="AK405" s="31" t="str">
        <f>BS_CONTROLE[[#This Row],[Local - Partida]]</f>
        <v>-</v>
      </c>
      <c r="AL405" s="31" t="str">
        <f>BS_CONTROLE[[#This Row],[Local - Encerramento]]</f>
        <v>-</v>
      </c>
      <c r="AM405" s="105" t="str">
        <f>IF(BS_CONTROLE[[#This Row],[Entre - Estações]]=0, "-", BS_CONTROLE[[#This Row],[Entre - Estações]])</f>
        <v>ZXI-ZVK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224.45</v>
      </c>
      <c r="AQ405" s="105">
        <f>BS_CONTROLE[[#This Row],[KM - Inicio]]</f>
        <v>224.45</v>
      </c>
      <c r="AR405" s="108"/>
      <c r="AS405" s="108"/>
      <c r="AT405" s="108"/>
      <c r="AU405" s="136"/>
      <c r="AV405" s="136"/>
      <c r="AW405" s="14"/>
      <c r="AX405" s="14"/>
      <c r="AY405" s="164">
        <f>IF(D405="","*",IFERROR(IF(ISODD(COUNT(AS405:AX405)),"ERRO",SUM((AT405-AS405),(AV405-AU405),(AX405-AW405))),"ERRO"))</f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Produção e Intervalo</v>
      </c>
      <c r="BR405" s="19">
        <f>IF(OR(B405="",F405=""),"*",AY405/P405)</f>
        <v>0</v>
      </c>
      <c r="BS405" s="19">
        <f>IF(OR(B405="",F405=""),"*",BA405/Q405)</f>
        <v>0</v>
      </c>
      <c r="BT405" s="8" t="str">
        <f t="shared" si="9"/>
        <v/>
      </c>
    </row>
    <row r="406" spans="1:72" hidden="1">
      <c r="A406" s="47" t="str">
        <f>D406&amp;B406</f>
        <v>ROGÉRIO (TP-730)46094</v>
      </c>
      <c r="B406" s="102">
        <v>46094</v>
      </c>
      <c r="C406" s="135">
        <f>IF(BS_CONTROLE[[#This Row],[DATA]]="","",WEEKNUM(BS_CONTROLE[[#This Row],[DATA]]))</f>
        <v>11</v>
      </c>
      <c r="D406" s="104" t="s">
        <v>900</v>
      </c>
      <c r="E406" s="159">
        <v>57</v>
      </c>
      <c r="F406" s="126" t="s">
        <v>744</v>
      </c>
      <c r="G406" s="142" t="str">
        <f>IF(D406="","*",VLOOKUP(F406,BS_ATIVIDADE[],3,FALSE))</f>
        <v>DORMENTE - SUBSTITUIÇÂO</v>
      </c>
      <c r="H406" s="127" t="str" cm="1">
        <f t="array" ref="H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06" s="106" t="s">
        <v>558</v>
      </c>
      <c r="J406" s="105">
        <v>49</v>
      </c>
      <c r="K406" s="105">
        <v>202.45</v>
      </c>
      <c r="L406" s="105" t="s">
        <v>558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06" s="106">
        <v>0.375</v>
      </c>
      <c r="P406" s="106">
        <v>6.25E-2</v>
      </c>
      <c r="Q406" s="105">
        <v>40</v>
      </c>
      <c r="R406" s="10" t="str">
        <f>IFERROR(_xlfn.XLOOKUP(F406, BS_ATIVIDADE[ATIVIDADE],BS_ATIVIDADE[UNIDADE] ), "*")</f>
        <v>Nº DE DORMENTES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6" s="105" t="s">
        <v>1284</v>
      </c>
      <c r="W406" s="151" t="s">
        <v>1092</v>
      </c>
      <c r="X406" s="104" t="s">
        <v>386</v>
      </c>
      <c r="Y406" s="129"/>
      <c r="Z406" s="104"/>
      <c r="AA406" s="105" t="s">
        <v>558</v>
      </c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PDM - SUBSTITUIÇÃO - DORMENTE</v>
      </c>
      <c r="AJ406" s="9" t="str">
        <f>IF(BS_CONTROLE[[#This Row],[Atividade]]=0, "-", BS_CONTROLE[[#This Row],[Atividade]])</f>
        <v>PDM - SUBSTITUIÇÃO - DORMENTE</v>
      </c>
      <c r="AK406" s="31" t="str">
        <f>BS_CONTROLE[[#This Row],[Local - Partida]]</f>
        <v>ZYU1</v>
      </c>
      <c r="AL406" s="31" t="str">
        <f>BS_CONTROLE[[#This Row],[Local - Encerramento]]</f>
        <v>-</v>
      </c>
      <c r="AM406" s="105" t="str">
        <f>IF(BS_CONTROLE[[#This Row],[Entre - Estações]]=0, "-", BS_CONTROLE[[#This Row],[Entre - Estações]])</f>
        <v>ZYU</v>
      </c>
      <c r="AN406" s="105" t="str">
        <f>IF(BS_CONTROLE[[#This Row],[SB]]=0, "-", BS_CONTROLE[[#This Row],[SB]])</f>
        <v>ZYU1</v>
      </c>
      <c r="AO406" s="105">
        <f>IF(BS_CONTROLE[[#This Row],[SUB]]=0, "-", BS_CONTROLE[[#This Row],[SUB]])</f>
        <v>49</v>
      </c>
      <c r="AP406" s="105">
        <f>BS_CONTROLE[[#This Row],[KM - Inicio]]</f>
        <v>202.45</v>
      </c>
      <c r="AQ406" s="105">
        <f>BS_CONTROLE[[#This Row],[KM - Inicio]]</f>
        <v>202.45</v>
      </c>
      <c r="AR406" s="108"/>
      <c r="AS406" s="108"/>
      <c r="AT406" s="108"/>
      <c r="AU406" s="136"/>
      <c r="AV406" s="136"/>
      <c r="AW406" s="14"/>
      <c r="AX406" s="14"/>
      <c r="AY406" s="164">
        <f>IF(D406="","*",IFERROR(IF(ISODD(COUNT(AS406:AX406)),"ERRO",SUM((AT406-AS406),(AV406-AU406),(AX406-AW406))),"ERRO"))</f>
        <v>0</v>
      </c>
      <c r="AZ406" s="153"/>
      <c r="BA406" s="109"/>
      <c r="BB406" s="10" t="str">
        <f>IFERROR(_xlfn.XLOOKUP(AI406, BS_ATIVIDADE[ATIVIDADE],BS_ATIVIDADE[UNIDADE] ), "*")</f>
        <v>Nº DE DORMENTES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Produção e Intervalo</v>
      </c>
      <c r="BR406" s="19">
        <f>IF(OR(B406="",F406=""),"*",AY406/P406)</f>
        <v>0</v>
      </c>
      <c r="BS406" s="19">
        <f>IF(OR(B406="",F406=""),"*",BA406/Q406)</f>
        <v>0</v>
      </c>
      <c r="BT406" s="8" t="str">
        <f t="shared" si="9"/>
        <v/>
      </c>
    </row>
    <row r="407" spans="1:72" hidden="1">
      <c r="A407" s="47" t="str">
        <f>D407&amp;B407</f>
        <v>V9346094</v>
      </c>
      <c r="B407" s="102">
        <v>46094</v>
      </c>
      <c r="C407" s="135">
        <f>IF(BS_CONTROLE[[#This Row],[DATA]]="","",WEEKNUM(BS_CONTROLE[[#This Row],[DATA]]))</f>
        <v>11</v>
      </c>
      <c r="D407" s="104" t="s">
        <v>775</v>
      </c>
      <c r="E407" s="159">
        <v>52</v>
      </c>
      <c r="F407" s="126" t="s">
        <v>663</v>
      </c>
      <c r="G407" s="142" t="str">
        <f>IF(D407="","*",VLOOKUP(F407,BS_ATIVIDADE[],3,FALSE))</f>
        <v>MECANIZAÇÃO - SOCADORA</v>
      </c>
      <c r="H407" s="105" t="s">
        <v>1290</v>
      </c>
      <c r="I407" s="105" t="s">
        <v>1290</v>
      </c>
      <c r="J407" s="105">
        <v>56</v>
      </c>
      <c r="K407" s="105">
        <v>190.07</v>
      </c>
      <c r="L407" s="105">
        <v>188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7" s="127" t="s">
        <v>1291</v>
      </c>
      <c r="O407" s="106">
        <v>0.39583333333333331</v>
      </c>
      <c r="P407" s="106">
        <v>0.16666666666666666</v>
      </c>
      <c r="Q407" s="105">
        <v>400</v>
      </c>
      <c r="R407" s="10" t="str">
        <f>IFERROR(_xlfn.XLOOKUP(F407, BS_ATIVIDADE[ATIVIDADE],BS_ATIVIDADE[UNIDADE] ), "*")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1029</v>
      </c>
      <c r="W407" s="151" t="s">
        <v>1013</v>
      </c>
      <c r="X407" s="104" t="s">
        <v>381</v>
      </c>
      <c r="Y407" s="129"/>
      <c r="Z407" s="104"/>
      <c r="AA407" s="105">
        <v>1</v>
      </c>
      <c r="AB407" s="103" t="s">
        <v>383</v>
      </c>
      <c r="AC407" s="152" t="s">
        <v>384</v>
      </c>
      <c r="AD407" s="107">
        <v>0.33333333333333331</v>
      </c>
      <c r="AE407" s="105" t="s">
        <v>558</v>
      </c>
      <c r="AF407" s="105"/>
      <c r="AG407" s="105"/>
      <c r="AH407" s="15"/>
      <c r="AI407" s="126" t="str">
        <f>IF(BS_CONTROLE[[#This Row],[Atividade]]=0, "-", BS_CONTROLE[[#This Row],[Atividade]])</f>
        <v>MECANIZAÇÃO - SOCADORA</v>
      </c>
      <c r="AJ407" s="9" t="str">
        <f>IF(BS_CONTROLE[[#This Row],[Atividade]]=0, "-", BS_CONTROLE[[#This Row],[Atividade]])</f>
        <v>MECANIZAÇÃO - SOCADORA</v>
      </c>
      <c r="AK407" s="31" t="str">
        <f>BS_CONTROLE[[#This Row],[Local - Partida]]</f>
        <v>ZXP-2</v>
      </c>
      <c r="AL407" s="31" t="str">
        <f>BS_CONTROLE[[#This Row],[Local - Encerramento]]</f>
        <v>ZXP-2</v>
      </c>
      <c r="AM407" s="105" t="str">
        <f>IF(BS_CONTROLE[[#This Row],[Entre - Estações]]=0, "-", BS_CONTROLE[[#This Row],[Entre - Estações]])</f>
        <v>ZXP-ZFY</v>
      </c>
      <c r="AN407" s="105" t="str">
        <f>IF(BS_CONTROLE[[#This Row],[SB]]=0, "-", BS_CONTROLE[[#This Row],[SB]])</f>
        <v>189ZFY/ZXP189</v>
      </c>
      <c r="AO407" s="105">
        <f>IF(BS_CONTROLE[[#This Row],[SUB]]=0, "-", BS_CONTROLE[[#This Row],[SUB]])</f>
        <v>56</v>
      </c>
      <c r="AP407" s="105">
        <f>BS_CONTROLE[[#This Row],[KM - Inicio]]</f>
        <v>190.07</v>
      </c>
      <c r="AQ407" s="105">
        <f>BS_CONTROLE[[#This Row],[KM - Inicio]]</f>
        <v>190.07</v>
      </c>
      <c r="AR407" s="108"/>
      <c r="AS407" s="108"/>
      <c r="AT407" s="108"/>
      <c r="AU407" s="136"/>
      <c r="AV407" s="136"/>
      <c r="AW407" s="14"/>
      <c r="AX407" s="14"/>
      <c r="AY407" s="164">
        <f>IF(D407="","*",IFERROR(IF(ISODD(COUNT(AS407:AX407)),"ERRO",SUM((AT407-AS407),(AV407-AU407),(AX407-AW407))),"ERRO"))</f>
        <v>0</v>
      </c>
      <c r="AZ407" s="153"/>
      <c r="BA407" s="109"/>
      <c r="BB407" s="10" t="str">
        <f>IFERROR(_xlfn.XLOOKUP(AI407, BS_ATIVIDADE[ATIVIDADE],BS_ATIVIDADE[UNIDADE] ), "*")</f>
        <v>M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Produção e Intervalo</v>
      </c>
      <c r="BR407" s="19">
        <f>IF(OR(B407="",F407=""),"*",AY407/P407)</f>
        <v>0</v>
      </c>
      <c r="BS407" s="19">
        <f>IF(OR(B407="",F407=""),"*",BA407/Q407)</f>
        <v>0</v>
      </c>
      <c r="BT407" s="8" t="str">
        <f t="shared" si="9"/>
        <v/>
      </c>
    </row>
    <row r="408" spans="1:72" hidden="1">
      <c r="A408" s="47" t="str">
        <f>D408&amp;B408</f>
        <v>ROBSON (TF-701)46094</v>
      </c>
      <c r="B408" s="102">
        <v>46094</v>
      </c>
      <c r="C408" s="135">
        <f>IF(BS_CONTROLE[[#This Row],[DATA]]="","",WEEKNUM(BS_CONTROLE[[#This Row],[DATA]]))</f>
        <v>11</v>
      </c>
      <c r="D408" s="104" t="s">
        <v>898</v>
      </c>
      <c r="E408" s="177">
        <v>114</v>
      </c>
      <c r="F408" s="126" t="s">
        <v>636</v>
      </c>
      <c r="G408" s="142" t="str">
        <f>IF(D408="","*",VLOOKUP(F408,BS_ATIVIDADE[],3,FALSE))</f>
        <v>LIMPEZA LASTRO</v>
      </c>
      <c r="H408" s="127" t="str" cm="1">
        <f t="array" ref="H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408" s="106" t="s">
        <v>558</v>
      </c>
      <c r="J408" s="105">
        <v>56</v>
      </c>
      <c r="K408" s="105">
        <v>187.58</v>
      </c>
      <c r="L408" s="105" t="s">
        <v>558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408" s="106">
        <v>0.41666666666666669</v>
      </c>
      <c r="P408" s="106">
        <v>6.25E-2</v>
      </c>
      <c r="Q408" s="105">
        <v>15</v>
      </c>
      <c r="R408" s="10" t="str">
        <f>IFERROR(_xlfn.XLOOKUP(F408, BS_ATIVIDADE[ATIVIDADE],BS_ATIVIDADE[UNIDADE] ), "*")</f>
        <v>M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1284</v>
      </c>
      <c r="W408" s="151" t="s">
        <v>1295</v>
      </c>
      <c r="X408" s="104" t="s">
        <v>386</v>
      </c>
      <c r="Y408" s="129"/>
      <c r="Z408" s="104"/>
      <c r="AA408" s="105" t="s">
        <v>558</v>
      </c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LIMPEZA LASTRO</v>
      </c>
      <c r="AJ408" s="9" t="str">
        <f>IF(BS_CONTROLE[[#This Row],[Atividade]]=0, "-", BS_CONTROLE[[#This Row],[Atividade]])</f>
        <v>LIMPEZA LASTRO</v>
      </c>
      <c r="AK408" s="31" t="str">
        <f>BS_CONTROLE[[#This Row],[Local - Partida]]</f>
        <v>ZXP189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ZXP-ZFY</v>
      </c>
      <c r="AN408" s="105" t="str">
        <f>IF(BS_CONTROLE[[#This Row],[SB]]=0, "-", BS_CONTROLE[[#This Row],[SB]])</f>
        <v>ZXP189</v>
      </c>
      <c r="AO408" s="105">
        <f>IF(BS_CONTROLE[[#This Row],[SUB]]=0, "-", BS_CONTROLE[[#This Row],[SUB]])</f>
        <v>56</v>
      </c>
      <c r="AP408" s="105">
        <f>BS_CONTROLE[[#This Row],[KM - Inicio]]</f>
        <v>187.58</v>
      </c>
      <c r="AQ408" s="105">
        <f>BS_CONTROLE[[#This Row],[KM - Inicio]]</f>
        <v>187.58</v>
      </c>
      <c r="AR408" s="108"/>
      <c r="AS408" s="108"/>
      <c r="AT408" s="108"/>
      <c r="AU408" s="136"/>
      <c r="AV408" s="136"/>
      <c r="AW408" s="14"/>
      <c r="AX408" s="14"/>
      <c r="AY408" s="164">
        <f>IF(D408="","*",IFERROR(IF(ISODD(COUNT(AS408:AX408)),"ERRO",SUM((AT408-AS408),(AV408-AU408),(AX408-AW408))),"ERRO"))</f>
        <v>0</v>
      </c>
      <c r="AZ408" s="153"/>
      <c r="BA408" s="109"/>
      <c r="BB408" s="10" t="str">
        <f>IFERROR(_xlfn.XLOOKUP(AI408, BS_ATIVIDADE[ATIVIDADE],BS_ATIVIDADE[UNIDADE] ), "*")</f>
        <v>M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Produção e Intervalo</v>
      </c>
      <c r="BR408" s="19">
        <f>IF(OR(B408="",F408=""),"*",AY408/P408)</f>
        <v>0</v>
      </c>
      <c r="BS408" s="19">
        <f>IF(OR(B408="",F408=""),"*",BA408/Q408)</f>
        <v>0</v>
      </c>
      <c r="BT408" s="8" t="str">
        <f t="shared" si="9"/>
        <v/>
      </c>
    </row>
    <row r="409" spans="1:72" hidden="1">
      <c r="A409" s="47" t="str">
        <f>D409&amp;B409</f>
        <v>CARLOS (TP-722)46094</v>
      </c>
      <c r="B409" s="102">
        <v>46094</v>
      </c>
      <c r="C409" s="135">
        <f>IF(BS_CONTROLE[[#This Row],[DATA]]="","",WEEKNUM(BS_CONTROLE[[#This Row],[DATA]]))</f>
        <v>11</v>
      </c>
      <c r="D409" s="104" t="s">
        <v>826</v>
      </c>
      <c r="E409" s="159">
        <v>262</v>
      </c>
      <c r="F409" s="126" t="s">
        <v>740</v>
      </c>
      <c r="G409" s="142" t="str">
        <f>IF(D409="","*",VLOOKUP(F409,BS_ATIVIDADE[],3,FALSE))</f>
        <v>SOLDA</v>
      </c>
      <c r="H409" s="106" t="s">
        <v>558</v>
      </c>
      <c r="I409" s="106" t="s">
        <v>558</v>
      </c>
      <c r="J409" s="105">
        <v>56</v>
      </c>
      <c r="K409" s="105">
        <v>158.4</v>
      </c>
      <c r="L409" s="105" t="s">
        <v>558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09" s="106">
        <v>0.375</v>
      </c>
      <c r="P409" s="106">
        <v>6.25E-2</v>
      </c>
      <c r="Q409" s="105">
        <v>1</v>
      </c>
      <c r="R409" s="10" t="str">
        <f>IFERROR(_xlfn.XLOOKUP(F409, BS_ATIVIDADE[ATIVIDADE],BS_ATIVIDADE[UNIDADE] ), "*")</f>
        <v>Nº DE SOLDA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9" s="105" t="s">
        <v>1284</v>
      </c>
      <c r="W409" s="151" t="s">
        <v>1025</v>
      </c>
      <c r="X409" s="104" t="s">
        <v>386</v>
      </c>
      <c r="Y409" s="129"/>
      <c r="Z409" s="104"/>
      <c r="AA409" s="105">
        <v>1</v>
      </c>
      <c r="AB409" s="103" t="s">
        <v>377</v>
      </c>
      <c r="AC409" s="152" t="s">
        <v>371</v>
      </c>
      <c r="AD409" s="107">
        <v>0.3125</v>
      </c>
      <c r="AE409" s="105" t="s">
        <v>558</v>
      </c>
      <c r="AF409" s="105"/>
      <c r="AG409" s="105"/>
      <c r="AH409" s="15"/>
      <c r="AI409" s="126" t="str">
        <f>IF(BS_CONTROLE[[#This Row],[Atividade]]=0, "-", BS_CONTROLE[[#This Row],[Atividade]])</f>
        <v>PDM - SOLDA</v>
      </c>
      <c r="AJ409" s="9" t="str">
        <f>IF(BS_CONTROLE[[#This Row],[Atividade]]=0, "-", BS_CONTROLE[[#This Row],[Atividade]])</f>
        <v>PDM - SOLDA</v>
      </c>
      <c r="AK409" s="31" t="str">
        <f>BS_CONTROLE[[#This Row],[Local - Partida]]</f>
        <v>-</v>
      </c>
      <c r="AL409" s="31" t="str">
        <f>BS_CONTROLE[[#This Row],[Local - Encerramento]]</f>
        <v>-</v>
      </c>
      <c r="AM409" s="105" t="str">
        <f>IF(BS_CONTROLE[[#This Row],[Entre - Estações]]=0, "-", BS_CONTROLE[[#This Row],[Entre - Estações]])</f>
        <v>ZPS-ZCX</v>
      </c>
      <c r="AN409" s="105" t="str">
        <f>IF(BS_CONTROLE[[#This Row],[SB]]=0, "-", BS_CONTROLE[[#This Row],[SB]])</f>
        <v>ZPSZCX</v>
      </c>
      <c r="AO409" s="105">
        <f>IF(BS_CONTROLE[[#This Row],[SUB]]=0, "-", BS_CONTROLE[[#This Row],[SUB]])</f>
        <v>56</v>
      </c>
      <c r="AP409" s="105">
        <f>BS_CONTROLE[[#This Row],[KM - Inicio]]</f>
        <v>158.4</v>
      </c>
      <c r="AQ409" s="105">
        <f>BS_CONTROLE[[#This Row],[KM - Inicio]]</f>
        <v>158.4</v>
      </c>
      <c r="AR409" s="108"/>
      <c r="AS409" s="108"/>
      <c r="AT409" s="108"/>
      <c r="AU409" s="136"/>
      <c r="AV409" s="136"/>
      <c r="AW409" s="14"/>
      <c r="AX409" s="14"/>
      <c r="AY409" s="164">
        <f>IF(D409="","*",IFERROR(IF(ISODD(COUNT(AS409:AX409)),"ERRO",SUM((AT409-AS409),(AV409-AU409),(AX409-AW409))),"ERRO"))</f>
        <v>0</v>
      </c>
      <c r="AZ409" s="153"/>
      <c r="BA409" s="109"/>
      <c r="BB409" s="10" t="str">
        <f>IFERROR(_xlfn.XLOOKUP(AI409, BS_ATIVIDADE[ATIVIDADE],BS_ATIVIDADE[UNIDADE] ), "*")</f>
        <v>Nº DE SOLDA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Produção e Intervalo</v>
      </c>
      <c r="BR409" s="19">
        <f>IF(OR(B409="",F409=""),"*",AY409/P409)</f>
        <v>0</v>
      </c>
      <c r="BS409" s="19">
        <f>IF(OR(B409="",F409=""),"*",BA409/Q409)</f>
        <v>0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>E1746094</v>
      </c>
      <c r="B411" s="102">
        <v>46094</v>
      </c>
      <c r="C411" s="135">
        <f>IF(BS_CONTROLE[[#This Row],[DATA]]="","",WEEKNUM(BS_CONTROLE[[#This Row],[DATA]]))</f>
        <v>11</v>
      </c>
      <c r="D411" s="104" t="s">
        <v>702</v>
      </c>
      <c r="E411" s="159">
        <v>334</v>
      </c>
      <c r="F411" s="126" t="s">
        <v>560</v>
      </c>
      <c r="G411" s="142" t="str">
        <f>IF(D411="","*",VLOOKUP(F411,BS_ATIVIDADE[],3,FALSE))</f>
        <v>CAMINHÂO - SOLDA</v>
      </c>
      <c r="H411" s="106" t="s">
        <v>1481</v>
      </c>
      <c r="I411" s="106" t="s">
        <v>1481</v>
      </c>
      <c r="J411" s="105">
        <v>55</v>
      </c>
      <c r="K411" s="105">
        <v>106.432</v>
      </c>
      <c r="L411" s="105">
        <v>106.75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11" s="106">
        <v>0.375</v>
      </c>
      <c r="P411" s="106">
        <v>0.125</v>
      </c>
      <c r="Q411" s="105">
        <v>2</v>
      </c>
      <c r="R411" s="10" t="str">
        <f>IFERROR(_xlfn.XLOOKUP(F411, BS_ATIVIDADE[ATIVIDADE],BS_ATIVIDADE[UNIDADE] ), "*")</f>
        <v>Nº DE SOLDA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1482</v>
      </c>
      <c r="W411" s="151" t="s">
        <v>1021</v>
      </c>
      <c r="X411" s="104" t="s">
        <v>386</v>
      </c>
      <c r="Y411" s="129"/>
      <c r="Z411" s="104"/>
      <c r="AA411" s="105">
        <v>1</v>
      </c>
      <c r="AB411" s="103" t="s">
        <v>377</v>
      </c>
      <c r="AC411" s="152" t="s">
        <v>371</v>
      </c>
      <c r="AD411" s="107">
        <v>0.35416666666666669</v>
      </c>
      <c r="AE411" s="105" t="s">
        <v>558</v>
      </c>
      <c r="AF411" s="105"/>
      <c r="AG411" s="105"/>
      <c r="AH411" s="15"/>
      <c r="AI411" s="126" t="str">
        <f>IF(BS_CONTROLE[[#This Row],[Atividade]]=0, "-", BS_CONTROLE[[#This Row],[Atividade]])</f>
        <v>CAMINHÃO DE SOLDA</v>
      </c>
      <c r="AJ411" s="9" t="str">
        <f>IF(BS_CONTROLE[[#This Row],[Atividade]]=0, "-", BS_CONTROLE[[#This Row],[Atividade]])</f>
        <v>CAMINHÃO DE SOLDA</v>
      </c>
      <c r="AK411" s="31" t="str">
        <f>BS_CONTROLE[[#This Row],[Local - Partida]]</f>
        <v>102ZKW-2</v>
      </c>
      <c r="AL411" s="31" t="str">
        <f>BS_CONTROLE[[#This Row],[Local - Encerramento]]</f>
        <v>102ZKW-2</v>
      </c>
      <c r="AM411" s="105" t="str">
        <f>IF(BS_CONTROLE[[#This Row],[Entre - Estações]]=0, "-", BS_CONTROLE[[#This Row],[Entre - Estações]])</f>
        <v>ZLU</v>
      </c>
      <c r="AN411" s="105" t="str">
        <f>IF(BS_CONTROLE[[#This Row],[SB]]=0, "-", BS_CONTROLE[[#This Row],[SB]])</f>
        <v>ZLU1052</v>
      </c>
      <c r="AO411" s="105">
        <f>IF(BS_CONTROLE[[#This Row],[SUB]]=0, "-", BS_CONTROLE[[#This Row],[SUB]])</f>
        <v>55</v>
      </c>
      <c r="AP411" s="105">
        <f>BS_CONTROLE[[#This Row],[KM - Inicio]]</f>
        <v>106.432</v>
      </c>
      <c r="AQ411" s="105">
        <f>BS_CONTROLE[[#This Row],[KM - Inicio]]</f>
        <v>106.432</v>
      </c>
      <c r="AR411" s="108"/>
      <c r="AS411" s="108"/>
      <c r="AT411" s="108"/>
      <c r="AU411" s="136"/>
      <c r="AV411" s="136"/>
      <c r="AW411" s="14"/>
      <c r="AX411" s="14"/>
      <c r="AY411" s="164">
        <f>IF(D411="","*",IFERROR(IF(ISODD(COUNT(AS411:AX411)),"ERRO",SUM((AT411-AS411),(AV411-AU411),(AX411-AW411))),"ERRO"))</f>
        <v>0</v>
      </c>
      <c r="AZ411" s="153"/>
      <c r="BA411" s="109"/>
      <c r="BB411" s="10" t="str">
        <f>IFERROR(_xlfn.XLOOKUP(AI411, BS_ATIVIDADE[ATIVIDADE],BS_ATIVIDADE[UNIDADE] ), "*")</f>
        <v>Nº DE SOLDA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Produção e Intervalo</v>
      </c>
      <c r="BR411" s="19">
        <f>IF(OR(B411="",F411=""),"*",AY411/P411)</f>
        <v>0</v>
      </c>
      <c r="BS411" s="19">
        <f>IF(OR(B411="",F411=""),"*",BA411/Q411)</f>
        <v>0</v>
      </c>
      <c r="BT411" s="8" t="str">
        <f t="shared" si="9"/>
        <v/>
      </c>
    </row>
    <row r="412" spans="1:72" hidden="1">
      <c r="A412" s="47" t="str">
        <f>D412&amp;B412</f>
        <v>EDSON (TP-719)46094</v>
      </c>
      <c r="B412" s="102">
        <v>46094</v>
      </c>
      <c r="C412" s="135">
        <f>IF(BS_CONTROLE[[#This Row],[DATA]]="","",WEEKNUM(BS_CONTROLE[[#This Row],[DATA]]))</f>
        <v>11</v>
      </c>
      <c r="D412" s="104" t="s">
        <v>840</v>
      </c>
      <c r="E412" s="159">
        <v>188</v>
      </c>
      <c r="F412" s="126" t="s">
        <v>721</v>
      </c>
      <c r="G412" s="142" t="str">
        <f>IF(D412="","*",VLOOKUP(F412,BS_ATIVIDADE[],3,FALSE))</f>
        <v>DORMENTE - DESCARGA</v>
      </c>
      <c r="H412" s="106" t="s">
        <v>558</v>
      </c>
      <c r="I412" s="106" t="s">
        <v>558</v>
      </c>
      <c r="J412" s="105">
        <v>55</v>
      </c>
      <c r="K412" s="105">
        <v>129.16999999999999</v>
      </c>
      <c r="L412" s="105">
        <v>129.61099999999999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412" s="106">
        <v>0.375</v>
      </c>
      <c r="P412" s="106">
        <v>8.3333333333333329E-2</v>
      </c>
      <c r="Q412" s="105">
        <v>30</v>
      </c>
      <c r="R412" s="10" t="str">
        <f>IFERROR(_xlfn.XLOOKUP(F412, BS_ATIVIDADE[ATIVIDADE],BS_ATIVIDADE[UNIDADE] ), "*")</f>
        <v>Nº DE DORMENTES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05" t="s">
        <v>1184</v>
      </c>
      <c r="W412" s="151" t="s">
        <v>1092</v>
      </c>
      <c r="X412" s="104" t="s">
        <v>386</v>
      </c>
      <c r="Y412" s="129"/>
      <c r="Z412" s="104"/>
      <c r="AA412" s="105" t="s">
        <v>558</v>
      </c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PDM - DESCARGA - DORMENTE</v>
      </c>
      <c r="AJ412" s="9" t="str">
        <f>IF(BS_CONTROLE[[#This Row],[Atividade]]=0, "-", BS_CONTROLE[[#This Row],[Atividade]])</f>
        <v>PDM - DESCARGA - DORMENTE</v>
      </c>
      <c r="AK412" s="31" t="str">
        <f>BS_CONTROLE[[#This Row],[Local - Partida]]</f>
        <v>-</v>
      </c>
      <c r="AL412" s="31" t="str">
        <f>BS_CONTROLE[[#This Row],[Local - Encerramento]]</f>
        <v>-</v>
      </c>
      <c r="AM412" s="105" t="str">
        <f>IF(BS_CONTROLE[[#This Row],[Entre - Estações]]=0, "-", BS_CONTROLE[[#This Row],[Entre - Estações]])</f>
        <v>ZYQ-ZEM</v>
      </c>
      <c r="AN412" s="105" t="str">
        <f>IF(BS_CONTROLE[[#This Row],[SB]]=0, "-", BS_CONTROLE[[#This Row],[SB]])</f>
        <v>130ZYQ2</v>
      </c>
      <c r="AO412" s="105">
        <f>IF(BS_CONTROLE[[#This Row],[SUB]]=0, "-", BS_CONTROLE[[#This Row],[SUB]])</f>
        <v>55</v>
      </c>
      <c r="AP412" s="105">
        <f>BS_CONTROLE[[#This Row],[KM - Inicio]]</f>
        <v>129.16999999999999</v>
      </c>
      <c r="AQ412" s="105">
        <f>BS_CONTROLE[[#This Row],[KM - Inicio]]</f>
        <v>129.16999999999999</v>
      </c>
      <c r="AR412" s="108"/>
      <c r="AS412" s="108"/>
      <c r="AT412" s="108"/>
      <c r="AU412" s="136"/>
      <c r="AV412" s="136"/>
      <c r="AW412" s="14"/>
      <c r="AX412" s="14"/>
      <c r="AY412" s="164">
        <f>IF(D412="","*",IFERROR(IF(ISODD(COUNT(AS412:AX412)),"ERRO",SUM((AT412-AS412),(AV412-AU412),(AX412-AW412))),"ERRO"))</f>
        <v>0</v>
      </c>
      <c r="AZ412" s="153"/>
      <c r="BA412" s="109"/>
      <c r="BB412" s="10" t="str">
        <f>IFERROR(_xlfn.XLOOKUP(AI412, BS_ATIVIDADE[ATIVIDADE],BS_ATIVIDADE[UNIDADE] ), "*")</f>
        <v>Nº DE DORMENTES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Produção e Intervalo</v>
      </c>
      <c r="BR412" s="19">
        <f>IF(OR(B412="",F412=""),"*",AY412/P412)</f>
        <v>0</v>
      </c>
      <c r="BS412" s="19">
        <f>IF(OR(B412="",F412=""),"*",BA412/Q412)</f>
        <v>0</v>
      </c>
      <c r="BT412" s="8" t="str">
        <f t="shared" si="9"/>
        <v/>
      </c>
    </row>
    <row r="413" spans="1:72" hidden="1">
      <c r="A413" s="47" t="str">
        <f>D413&amp;B413</f>
        <v>EDSON (TP-719)46094</v>
      </c>
      <c r="B413" s="102">
        <v>46094</v>
      </c>
      <c r="C413" s="135">
        <f>IF(BS_CONTROLE[[#This Row],[DATA]]="","",WEEKNUM(BS_CONTROLE[[#This Row],[DATA]]))</f>
        <v>11</v>
      </c>
      <c r="D413" s="104" t="s">
        <v>840</v>
      </c>
      <c r="E413" s="159">
        <v>189</v>
      </c>
      <c r="F413" s="126" t="s">
        <v>721</v>
      </c>
      <c r="G413" s="142" t="str">
        <f>IF(D413="","*",VLOOKUP(F413,BS_ATIVIDADE[],3,FALSE))</f>
        <v>DORMENTE - DESCARGA</v>
      </c>
      <c r="H413" s="106" t="s">
        <v>558</v>
      </c>
      <c r="I413" s="106" t="s">
        <v>558</v>
      </c>
      <c r="J413" s="105">
        <v>55</v>
      </c>
      <c r="K413" s="105">
        <v>130.6</v>
      </c>
      <c r="L413" s="105">
        <v>130.80000000000001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3" s="106">
        <v>0.375</v>
      </c>
      <c r="P413" s="106">
        <v>8.3333333333333329E-2</v>
      </c>
      <c r="Q413" s="105">
        <v>30</v>
      </c>
      <c r="R413" s="10" t="str">
        <f>IFERROR(_xlfn.XLOOKUP(F413, BS_ATIVIDADE[ATIVIDADE],BS_ATIVIDADE[UNIDADE] ), "*")</f>
        <v>Nº DE DORMENTES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1184</v>
      </c>
      <c r="W413" s="151" t="s">
        <v>1092</v>
      </c>
      <c r="X413" s="104" t="s">
        <v>386</v>
      </c>
      <c r="Y413" s="129"/>
      <c r="Z413" s="104"/>
      <c r="AA413" s="105" t="s">
        <v>558</v>
      </c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PDM - DESCARGA - DORMENTE</v>
      </c>
      <c r="AJ413" s="9" t="str">
        <f>IF(BS_CONTROLE[[#This Row],[Atividade]]=0, "-", BS_CONTROLE[[#This Row],[Atividade]])</f>
        <v>PDM - DESCARGA - DORMENTE</v>
      </c>
      <c r="AK413" s="31" t="str">
        <f>BS_CONTROLE[[#This Row],[Local - Partida]]</f>
        <v>-</v>
      </c>
      <c r="AL413" s="31" t="str">
        <f>BS_CONTROLE[[#This Row],[Local - Encerramento]]</f>
        <v>-</v>
      </c>
      <c r="AM413" s="105" t="str">
        <f>IF(BS_CONTROLE[[#This Row],[Entre - Estações]]=0, "-", BS_CONTROLE[[#This Row],[Entre - Estações]])</f>
        <v>ZYQ-ZEM</v>
      </c>
      <c r="AN413" s="105" t="str">
        <f>IF(BS_CONTROLE[[#This Row],[SB]]=0, "-", BS_CONTROLE[[#This Row],[SB]])</f>
        <v>ZEM1302</v>
      </c>
      <c r="AO413" s="105">
        <f>IF(BS_CONTROLE[[#This Row],[SUB]]=0, "-", BS_CONTROLE[[#This Row],[SUB]])</f>
        <v>55</v>
      </c>
      <c r="AP413" s="105">
        <f>BS_CONTROLE[[#This Row],[KM - Inicio]]</f>
        <v>130.6</v>
      </c>
      <c r="AQ413" s="105">
        <f>BS_CONTROLE[[#This Row],[KM - Inicio]]</f>
        <v>130.6</v>
      </c>
      <c r="AR413" s="108"/>
      <c r="AS413" s="108"/>
      <c r="AT413" s="108"/>
      <c r="AU413" s="136"/>
      <c r="AV413" s="136"/>
      <c r="AW413" s="14"/>
      <c r="AX413" s="14"/>
      <c r="AY413" s="164">
        <f>IF(D413="","*",IFERROR(IF(ISODD(COUNT(AS413:AX413)),"ERRO",SUM((AT413-AS413),(AV413-AU413),(AX413-AW413))),"ERRO"))</f>
        <v>0</v>
      </c>
      <c r="AZ413" s="153"/>
      <c r="BA413" s="109"/>
      <c r="BB413" s="10" t="str">
        <f>IFERROR(_xlfn.XLOOKUP(AI413, BS_ATIVIDADE[ATIVIDADE],BS_ATIVIDADE[UNIDADE] ), "*")</f>
        <v>Nº DE DORMENTES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Produção e Intervalo</v>
      </c>
      <c r="BR413" s="19">
        <f>IF(OR(B413="",F413=""),"*",AY413/P413)</f>
        <v>0</v>
      </c>
      <c r="BS413" s="19">
        <f>IF(OR(B413="",F413=""),"*",BA413/Q413)</f>
        <v>0</v>
      </c>
      <c r="BT413" s="8" t="str">
        <f t="shared" si="9"/>
        <v/>
      </c>
    </row>
    <row r="414" spans="1:72" hidden="1">
      <c r="A414" s="47" t="str">
        <f>D414&amp;B414</f>
        <v>V8946094</v>
      </c>
      <c r="B414" s="102">
        <v>46094</v>
      </c>
      <c r="C414" s="135">
        <f>IF(BS_CONTROLE[[#This Row],[DATA]]="","",WEEKNUM(BS_CONTROLE[[#This Row],[DATA]]))</f>
        <v>11</v>
      </c>
      <c r="D414" s="104" t="s">
        <v>768</v>
      </c>
      <c r="E414" s="159">
        <v>121</v>
      </c>
      <c r="F414" s="126" t="s">
        <v>663</v>
      </c>
      <c r="G414" s="142" t="str">
        <f>IF(D414="","*",VLOOKUP(F414,BS_ATIVIDADE[],3,FALSE))</f>
        <v>MECANIZAÇÃO - SOCADORA</v>
      </c>
      <c r="H414" s="106" t="s">
        <v>1302</v>
      </c>
      <c r="I414" s="106" t="s">
        <v>1068</v>
      </c>
      <c r="J414" s="105">
        <v>55</v>
      </c>
      <c r="K414" s="105">
        <v>132.5</v>
      </c>
      <c r="L414" s="105">
        <v>131.97999999999999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4" s="106">
        <v>0.38541666666666669</v>
      </c>
      <c r="P414" s="106">
        <v>8.3333333333333329E-2</v>
      </c>
      <c r="Q414" s="105">
        <v>480</v>
      </c>
      <c r="R414" s="10" t="str">
        <f>IFERROR(_xlfn.XLOOKUP(F414, BS_ATIVIDADE[ATIVIDADE],BS_ATIVIDADE[UNIDADE] ), "*")</f>
        <v>M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4" s="105" t="s">
        <v>1072</v>
      </c>
      <c r="W414" s="151" t="s">
        <v>1013</v>
      </c>
      <c r="X414" s="104" t="s">
        <v>386</v>
      </c>
      <c r="Y414" s="129"/>
      <c r="Z414" s="104"/>
      <c r="AA414" s="105">
        <v>1</v>
      </c>
      <c r="AB414" s="103" t="s">
        <v>377</v>
      </c>
      <c r="AC414" s="152" t="s">
        <v>371</v>
      </c>
      <c r="AD414" s="107">
        <v>0.35416666666666669</v>
      </c>
      <c r="AE414" s="105">
        <v>6239</v>
      </c>
      <c r="AF414" s="105"/>
      <c r="AG414" s="105"/>
      <c r="AH414" s="15"/>
      <c r="AI414" s="126" t="str">
        <f>IF(BS_CONTROLE[[#This Row],[Atividade]]=0, "-", BS_CONTROLE[[#This Row],[Atividade]])</f>
        <v>MECANIZAÇÃO - SOCADORA</v>
      </c>
      <c r="AJ414" s="9" t="str">
        <f>IF(BS_CONTROLE[[#This Row],[Atividade]]=0, "-", BS_CONTROLE[[#This Row],[Atividade]])</f>
        <v>MECANIZAÇÃO - SOCADORA</v>
      </c>
      <c r="AK414" s="31" t="str">
        <f>BS_CONTROLE[[#This Row],[Local - Partida]]</f>
        <v>ZEM130-1</v>
      </c>
      <c r="AL414" s="31" t="str">
        <f>BS_CONTROLE[[#This Row],[Local - Encerramento]]</f>
        <v>ZEM130-2</v>
      </c>
      <c r="AM414" s="105" t="str">
        <f>IF(BS_CONTROLE[[#This Row],[Entre - Estações]]=0, "-", BS_CONTROLE[[#This Row],[Entre - Estações]])</f>
        <v>ZYQ-ZEM</v>
      </c>
      <c r="AN414" s="105" t="str">
        <f>IF(BS_CONTROLE[[#This Row],[SB]]=0, "-", BS_CONTROLE[[#This Row],[SB]])</f>
        <v>ZEM1302</v>
      </c>
      <c r="AO414" s="105">
        <f>IF(BS_CONTROLE[[#This Row],[SUB]]=0, "-", BS_CONTROLE[[#This Row],[SUB]])</f>
        <v>55</v>
      </c>
      <c r="AP414" s="105">
        <f>BS_CONTROLE[[#This Row],[KM - Inicio]]</f>
        <v>132.5</v>
      </c>
      <c r="AQ414" s="105">
        <f>BS_CONTROLE[[#This Row],[KM - Inicio]]</f>
        <v>132.5</v>
      </c>
      <c r="AR414" s="108"/>
      <c r="AS414" s="108"/>
      <c r="AT414" s="108"/>
      <c r="AU414" s="136"/>
      <c r="AV414" s="136"/>
      <c r="AW414" s="14"/>
      <c r="AX414" s="14"/>
      <c r="AY414" s="164">
        <f>IF(D414="","*",IFERROR(IF(ISODD(COUNT(AS414:AX414)),"ERRO",SUM((AT414-AS414),(AV414-AU414),(AX414-AW414))),"ERRO"))</f>
        <v>0</v>
      </c>
      <c r="AZ414" s="153"/>
      <c r="BA414" s="109"/>
      <c r="BB414" s="10" t="str">
        <f>IFERROR(_xlfn.XLOOKUP(AI414, BS_ATIVIDADE[ATIVIDADE],BS_ATIVIDADE[UNIDADE] ), "*")</f>
        <v>M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Produção e Intervalo</v>
      </c>
      <c r="BR414" s="19">
        <f>IF(OR(B414="",F414=""),"*",AY414/P414)</f>
        <v>0</v>
      </c>
      <c r="BS414" s="19">
        <f>IF(OR(B414="",F414=""),"*",BA414/Q414)</f>
        <v>0</v>
      </c>
      <c r="BT414" s="8" t="str">
        <f t="shared" si="9"/>
        <v/>
      </c>
    </row>
    <row r="415" spans="1:72" hidden="1">
      <c r="A415" s="47" t="str">
        <f>D415&amp;B415</f>
        <v>CLEBISON (TP-728)46094</v>
      </c>
      <c r="B415" s="102">
        <v>46094</v>
      </c>
      <c r="C415" s="135">
        <f>IF(BS_CONTROLE[[#This Row],[DATA]]="","",WEEKNUM(BS_CONTROLE[[#This Row],[DATA]]))</f>
        <v>11</v>
      </c>
      <c r="D415" s="104" t="s">
        <v>829</v>
      </c>
      <c r="E415" s="159">
        <v>409</v>
      </c>
      <c r="F415" s="126" t="s">
        <v>740</v>
      </c>
      <c r="G415" s="142" t="str">
        <f>IF(D415="","*",VLOOKUP(F415,BS_ATIVIDADE[],3,FALSE))</f>
        <v>SOLDA</v>
      </c>
      <c r="H415" s="106" t="s">
        <v>558</v>
      </c>
      <c r="I415" s="106" t="s">
        <v>558</v>
      </c>
      <c r="J415" s="105">
        <v>55</v>
      </c>
      <c r="K415" s="105">
        <v>134.6</v>
      </c>
      <c r="L415" s="105" t="s">
        <v>558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5" s="106">
        <v>0.375</v>
      </c>
      <c r="P415" s="106">
        <v>8.3333333333333329E-2</v>
      </c>
      <c r="Q415" s="105">
        <v>1</v>
      </c>
      <c r="R415" s="10" t="str">
        <f>IFERROR(_xlfn.XLOOKUP(F415, BS_ATIVIDADE[ATIVIDADE],BS_ATIVIDADE[UNIDADE] ), "*")</f>
        <v>Nº DE SOLDA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5" s="105" t="s">
        <v>1184</v>
      </c>
      <c r="W415" s="151" t="s">
        <v>1025</v>
      </c>
      <c r="X415" s="104" t="s">
        <v>386</v>
      </c>
      <c r="Y415" s="129"/>
      <c r="Z415" s="104"/>
      <c r="AA415" s="105" t="s">
        <v>558</v>
      </c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PDM - SOLDA</v>
      </c>
      <c r="AJ415" s="9" t="str">
        <f>IF(BS_CONTROLE[[#This Row],[Atividade]]=0, "-", BS_CONTROLE[[#This Row],[Atividade]])</f>
        <v>PDM - SOLDA</v>
      </c>
      <c r="AK415" s="31" t="str">
        <f>BS_CONTROLE[[#This Row],[Local - Partida]]</f>
        <v>-</v>
      </c>
      <c r="AL415" s="31" t="str">
        <f>BS_CONTROLE[[#This Row],[Local - Encerramento]]</f>
        <v>-</v>
      </c>
      <c r="AM415" s="105" t="str">
        <f>IF(BS_CONTROLE[[#This Row],[Entre - Estações]]=0, "-", BS_CONTROLE[[#This Row],[Entre - Estações]])</f>
        <v>ZYQ-ZEM</v>
      </c>
      <c r="AN415" s="105" t="str">
        <f>IF(BS_CONTROLE[[#This Row],[SB]]=0, "-", BS_CONTROLE[[#This Row],[SB]])</f>
        <v>ZEM2</v>
      </c>
      <c r="AO415" s="105">
        <f>IF(BS_CONTROLE[[#This Row],[SUB]]=0, "-", BS_CONTROLE[[#This Row],[SUB]])</f>
        <v>55</v>
      </c>
      <c r="AP415" s="105">
        <f>BS_CONTROLE[[#This Row],[KM - Inicio]]</f>
        <v>134.6</v>
      </c>
      <c r="AQ415" s="105">
        <f>BS_CONTROLE[[#This Row],[KM - Inicio]]</f>
        <v>134.6</v>
      </c>
      <c r="AR415" s="108"/>
      <c r="AS415" s="108"/>
      <c r="AT415" s="108"/>
      <c r="AU415" s="136"/>
      <c r="AV415" s="136"/>
      <c r="AW415" s="14"/>
      <c r="AX415" s="14"/>
      <c r="AY415" s="164">
        <f>IF(D415="","*",IFERROR(IF(ISODD(COUNT(AS415:AX415)),"ERRO",SUM((AT415-AS415),(AV415-AU415),(AX415-AW415))),"ERRO"))</f>
        <v>0</v>
      </c>
      <c r="AZ415" s="153"/>
      <c r="BA415" s="109"/>
      <c r="BB415" s="10" t="str">
        <f>IFERROR(_xlfn.XLOOKUP(AI415, BS_ATIVIDADE[ATIVIDADE],BS_ATIVIDADE[UNIDADE] ), "*")</f>
        <v>Nº DE SOLDA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Produção e Intervalo</v>
      </c>
      <c r="BR415" s="19">
        <f>IF(OR(B415="",F415=""),"*",AY415/P415)</f>
        <v>0</v>
      </c>
      <c r="BS415" s="19">
        <f>IF(OR(B415="",F415=""),"*",BA415/Q415)</f>
        <v>0</v>
      </c>
      <c r="BT415" s="8" t="str">
        <f t="shared" si="9"/>
        <v/>
      </c>
    </row>
    <row r="416" spans="1:72" hidden="1">
      <c r="A416" s="47" t="str">
        <f>D416&amp;B416</f>
        <v>ISMAEL(TP-726)46094</v>
      </c>
      <c r="B416" s="102">
        <v>46094</v>
      </c>
      <c r="C416" s="135">
        <f>IF(BS_CONTROLE[[#This Row],[DATA]]="","",WEEKNUM(BS_CONTROLE[[#This Row],[DATA]]))</f>
        <v>11</v>
      </c>
      <c r="D416" s="104" t="s">
        <v>857</v>
      </c>
      <c r="E416" s="159">
        <v>410</v>
      </c>
      <c r="F416" s="126" t="s">
        <v>740</v>
      </c>
      <c r="G416" s="142" t="str">
        <f>IF(D416="","*",VLOOKUP(F416,BS_ATIVIDADE[],3,FALSE))</f>
        <v>SOLDA</v>
      </c>
      <c r="H416" s="106" t="s">
        <v>558</v>
      </c>
      <c r="I416" s="106" t="s">
        <v>558</v>
      </c>
      <c r="J416" s="105">
        <v>55</v>
      </c>
      <c r="K416" s="105">
        <v>134.6</v>
      </c>
      <c r="L416" s="105" t="s">
        <v>558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6" s="106">
        <v>0.375</v>
      </c>
      <c r="P416" s="106">
        <v>8.3333333333333329E-2</v>
      </c>
      <c r="Q416" s="105">
        <v>1</v>
      </c>
      <c r="R416" s="10" t="str">
        <f>IFERROR(_xlfn.XLOOKUP(F416, BS_ATIVIDADE[ATIVIDADE],BS_ATIVIDADE[UNIDADE] ), "*")</f>
        <v>Nº DE SOLDA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6" s="105" t="s">
        <v>1184</v>
      </c>
      <c r="W416" s="151" t="s">
        <v>1025</v>
      </c>
      <c r="X416" s="104" t="s">
        <v>386</v>
      </c>
      <c r="Y416" s="129"/>
      <c r="Z416" s="104"/>
      <c r="AA416" s="105" t="s">
        <v>558</v>
      </c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PDM - SOLDA</v>
      </c>
      <c r="AJ416" s="9" t="str">
        <f>IF(BS_CONTROLE[[#This Row],[Atividade]]=0, "-", BS_CONTROLE[[#This Row],[Atividade]])</f>
        <v>PDM - SOLDA</v>
      </c>
      <c r="AK416" s="31" t="str">
        <f>BS_CONTROLE[[#This Row],[Local - Partida]]</f>
        <v>-</v>
      </c>
      <c r="AL416" s="31" t="str">
        <f>BS_CONTROLE[[#This Row],[Local - Encerramento]]</f>
        <v>-</v>
      </c>
      <c r="AM416" s="105" t="str">
        <f>IF(BS_CONTROLE[[#This Row],[Entre - Estações]]=0, "-", BS_CONTROLE[[#This Row],[Entre - Estações]])</f>
        <v>ZYQ-ZEM</v>
      </c>
      <c r="AN416" s="105" t="str">
        <f>IF(BS_CONTROLE[[#This Row],[SB]]=0, "-", BS_CONTROLE[[#This Row],[SB]])</f>
        <v>ZEM2</v>
      </c>
      <c r="AO416" s="105">
        <f>IF(BS_CONTROLE[[#This Row],[SUB]]=0, "-", BS_CONTROLE[[#This Row],[SUB]])</f>
        <v>55</v>
      </c>
      <c r="AP416" s="105">
        <f>BS_CONTROLE[[#This Row],[KM - Inicio]]</f>
        <v>134.6</v>
      </c>
      <c r="AQ416" s="105">
        <f>BS_CONTROLE[[#This Row],[KM - Inicio]]</f>
        <v>134.6</v>
      </c>
      <c r="AR416" s="108"/>
      <c r="AS416" s="108"/>
      <c r="AT416" s="108"/>
      <c r="AU416" s="136"/>
      <c r="AV416" s="136"/>
      <c r="AW416" s="14"/>
      <c r="AX416" s="14"/>
      <c r="AY416" s="164">
        <f>IF(D416="","*",IFERROR(IF(ISODD(COUNT(AS416:AX416)),"ERRO",SUM((AT416-AS416),(AV416-AU416),(AX416-AW416))),"ERRO"))</f>
        <v>0</v>
      </c>
      <c r="AZ416" s="153"/>
      <c r="BA416" s="109"/>
      <c r="BB416" s="10" t="str">
        <f>IFERROR(_xlfn.XLOOKUP(AI416, BS_ATIVIDADE[ATIVIDADE],BS_ATIVIDADE[UNIDADE] ), "*")</f>
        <v>Nº DE SOLDA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Produção e Intervalo</v>
      </c>
      <c r="BR416" s="19">
        <f>IF(OR(B416="",F416=""),"*",AY416/P416)</f>
        <v>0</v>
      </c>
      <c r="BS416" s="19">
        <f>IF(OR(B416="",F416=""),"*",BA416/Q416)</f>
        <v>0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>CAIQUE (TMA-677)46094</v>
      </c>
      <c r="B418" s="102">
        <v>46094</v>
      </c>
      <c r="C418" s="135">
        <f>IF(BS_CONTROLE[[#This Row],[DATA]]="","",WEEKNUM(BS_CONTROLE[[#This Row],[DATA]]))</f>
        <v>11</v>
      </c>
      <c r="D418" s="104" t="s">
        <v>824</v>
      </c>
      <c r="E418" s="159">
        <v>412</v>
      </c>
      <c r="F418" s="126" t="s">
        <v>691</v>
      </c>
      <c r="G418" s="142" t="str">
        <f>IF(D418="","*",VLOOKUP(F418,BS_ATIVIDADE[],3,FALSE))</f>
        <v>MODERNIZAÇÃO</v>
      </c>
      <c r="H418" s="106" t="s">
        <v>558</v>
      </c>
      <c r="I418" s="106" t="s">
        <v>558</v>
      </c>
      <c r="J418" s="105">
        <v>48</v>
      </c>
      <c r="K418" s="105">
        <v>156.005</v>
      </c>
      <c r="L418" s="105" t="s">
        <v>558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8" s="127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8" s="106">
        <v>0.35416666666666669</v>
      </c>
      <c r="P418" s="106">
        <v>6.25E-2</v>
      </c>
      <c r="Q418" s="105">
        <v>1</v>
      </c>
      <c r="R418" s="10" t="str">
        <f>IFERROR(_xlfn.XLOOKUP(F418, BS_ATIVIDADE[ATIVIDADE],BS_ATIVIDADE[UNIDADE] ), "*")</f>
        <v>Nº DE SOLDA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8" s="105" t="s">
        <v>1074</v>
      </c>
      <c r="W418" s="151" t="s">
        <v>1025</v>
      </c>
      <c r="X418" s="104" t="s">
        <v>386</v>
      </c>
      <c r="Y418" s="129"/>
      <c r="Z418" s="104"/>
      <c r="AA418" s="105" t="s">
        <v>558</v>
      </c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MODERNIZAÇÃO - SOLDA</v>
      </c>
      <c r="AJ418" s="9" t="str">
        <f>IF(BS_CONTROLE[[#This Row],[Atividade]]=0, "-", BS_CONTROLE[[#This Row],[Atividade]])</f>
        <v>MODERNIZAÇÃO - SOLDA</v>
      </c>
      <c r="AK418" s="31" t="str">
        <f>BS_CONTROLE[[#This Row],[Local - Partida]]</f>
        <v>-</v>
      </c>
      <c r="AL418" s="31" t="str">
        <f>BS_CONTROLE[[#This Row],[Local - Encerramento]]</f>
        <v>-</v>
      </c>
      <c r="AM418" s="105" t="str">
        <f>IF(BS_CONTROLE[[#This Row],[Entre - Estações]]=0, "-", BS_CONTROLE[[#This Row],[Entre - Estações]])</f>
        <v>ZEJ-ZEV</v>
      </c>
      <c r="AN418" s="105">
        <f>IF(BS_CONTROLE[[#This Row],[SB]]=0, "-", BS_CONTROLE[[#This Row],[SB]])</f>
        <v>1571561</v>
      </c>
      <c r="AO418" s="105">
        <f>IF(BS_CONTROLE[[#This Row],[SUB]]=0, "-", BS_CONTROLE[[#This Row],[SUB]])</f>
        <v>48</v>
      </c>
      <c r="AP418" s="105">
        <f>BS_CONTROLE[[#This Row],[KM - Inicio]]</f>
        <v>156.005</v>
      </c>
      <c r="AQ418" s="105">
        <f>BS_CONTROLE[[#This Row],[KM - Inicio]]</f>
        <v>156.005</v>
      </c>
      <c r="AR418" s="108"/>
      <c r="AS418" s="108"/>
      <c r="AT418" s="108"/>
      <c r="AU418" s="136"/>
      <c r="AV418" s="136"/>
      <c r="AW418" s="14"/>
      <c r="AX418" s="14"/>
      <c r="AY418" s="164">
        <f>IF(D418="","*",IFERROR(IF(ISODD(COUNT(AS418:AX418)),"ERRO",SUM((AT418-AS418),(AV418-AU418),(AX418-AW418))),"ERRO"))</f>
        <v>0</v>
      </c>
      <c r="AZ418" s="153"/>
      <c r="BA418" s="109"/>
      <c r="BB418" s="10" t="str">
        <f>IFERROR(_xlfn.XLOOKUP(AI418, BS_ATIVIDADE[ATIVIDADE],BS_ATIVIDADE[UNIDADE] ), "*")</f>
        <v>Nº DE SOLDA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Produção e Intervalo</v>
      </c>
      <c r="BR418" s="19">
        <f>IF(OR(B418="",F418=""),"*",AY418/P418)</f>
        <v>0</v>
      </c>
      <c r="BS418" s="19">
        <f>IF(OR(B418="",F418=""),"*",BA418/Q418)</f>
        <v>0</v>
      </c>
      <c r="BT418" s="8" t="str">
        <f t="shared" si="9"/>
        <v/>
      </c>
    </row>
    <row r="419" spans="1:72" hidden="1">
      <c r="A419" s="47" t="str">
        <f>D419&amp;B419</f>
        <v>WALTER (TP-810)46094</v>
      </c>
      <c r="B419" s="102">
        <v>46094</v>
      </c>
      <c r="C419" s="135">
        <f>IF(BS_CONTROLE[[#This Row],[DATA]]="","",WEEKNUM(BS_CONTROLE[[#This Row],[DATA]]))</f>
        <v>11</v>
      </c>
      <c r="D419" s="104" t="s">
        <v>910</v>
      </c>
      <c r="E419" s="159">
        <v>413</v>
      </c>
      <c r="F419" s="126" t="s">
        <v>691</v>
      </c>
      <c r="G419" s="142" t="str">
        <f>IF(D419="","*",VLOOKUP(F419,BS_ATIVIDADE[],3,FALSE))</f>
        <v>MODERNIZAÇÃO</v>
      </c>
      <c r="H419" s="106" t="s">
        <v>558</v>
      </c>
      <c r="I419" s="106"/>
      <c r="J419" s="105">
        <v>48</v>
      </c>
      <c r="K419" s="105">
        <v>156.34399999999999</v>
      </c>
      <c r="L419" s="105" t="s">
        <v>558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9" s="127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9" s="106">
        <v>0.35416666666666669</v>
      </c>
      <c r="P419" s="106">
        <v>6.25E-2</v>
      </c>
      <c r="Q419" s="105">
        <v>1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9" s="105" t="s">
        <v>1074</v>
      </c>
      <c r="W419" s="151" t="s">
        <v>1025</v>
      </c>
      <c r="X419" s="104" t="s">
        <v>386</v>
      </c>
      <c r="Y419" s="129"/>
      <c r="Z419" s="104"/>
      <c r="AA419" s="105" t="s">
        <v>558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ZEJ-ZEV</v>
      </c>
      <c r="AN419" s="105">
        <f>IF(BS_CONTROLE[[#This Row],[SB]]=0, "-", BS_CONTROLE[[#This Row],[SB]])</f>
        <v>1571561</v>
      </c>
      <c r="AO419" s="105">
        <f>IF(BS_CONTROLE[[#This Row],[SUB]]=0, "-", BS_CONTROLE[[#This Row],[SUB]])</f>
        <v>48</v>
      </c>
      <c r="AP419" s="105">
        <f>BS_CONTROLE[[#This Row],[KM - Inicio]]</f>
        <v>156.34399999999999</v>
      </c>
      <c r="AQ419" s="105">
        <f>BS_CONTROLE[[#This Row],[KM - Inicio]]</f>
        <v>156.34399999999999</v>
      </c>
      <c r="AR419" s="108"/>
      <c r="AS419" s="108"/>
      <c r="AT419" s="108"/>
      <c r="AU419" s="136"/>
      <c r="AV419" s="136"/>
      <c r="AW419" s="14"/>
      <c r="AX419" s="14"/>
      <c r="AY419" s="164">
        <f>IF(D419="","*",IFERROR(IF(ISODD(COUNT(AS419:AX419)),"ERRO",SUM((AT419-AS419),(AV419-AU419),(AX419-AW419))),"ERRO"))</f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Produção e Intervalo</v>
      </c>
      <c r="BR419" s="19">
        <f>IF(OR(B419="",F419=""),"*",AY419/P419)</f>
        <v>0</v>
      </c>
      <c r="BS419" s="19">
        <f>IF(OR(B419="",F419=""),"*",BA419/Q419)</f>
        <v>0</v>
      </c>
      <c r="BT419" s="8" t="str">
        <f t="shared" si="9"/>
        <v/>
      </c>
    </row>
    <row r="420" spans="1:72" hidden="1">
      <c r="A420" s="47" t="str">
        <f>D420&amp;B420</f>
        <v>W9746094</v>
      </c>
      <c r="B420" s="102">
        <v>46094</v>
      </c>
      <c r="C420" s="135">
        <f>IF(BS_CONTROLE[[#This Row],[DATA]]="","",WEEKNUM(BS_CONTROLE[[#This Row],[DATA]]))</f>
        <v>11</v>
      </c>
      <c r="D420" s="104" t="s">
        <v>806</v>
      </c>
      <c r="E420" s="159">
        <v>414</v>
      </c>
      <c r="F420" s="126" t="s">
        <v>701</v>
      </c>
      <c r="G420" s="142" t="str">
        <f>IF(D420="","*",VLOOKUP(F420,BS_ATIVIDADE[],3,FALSE))</f>
        <v>OUTROS</v>
      </c>
      <c r="H420" s="106" t="s">
        <v>1547</v>
      </c>
      <c r="I420" s="106" t="s">
        <v>1547</v>
      </c>
      <c r="J420" s="105">
        <v>54</v>
      </c>
      <c r="K420" s="105">
        <v>66</v>
      </c>
      <c r="L420" s="105" t="s">
        <v>558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20" s="106">
        <v>0.35416666666666669</v>
      </c>
      <c r="P420" s="106">
        <v>4.1666666666666664E-2</v>
      </c>
      <c r="Q420" s="105">
        <v>1</v>
      </c>
      <c r="R420" s="10" t="str">
        <f>IFERROR(_xlfn.XLOOKUP(F420, BS_ATIVIDADE[ATIVIDADE],BS_ATIVIDADE[UNIDADE] ), "*")</f>
        <v>BINÁRIO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0" s="105" t="s">
        <v>1074</v>
      </c>
      <c r="W420" s="151" t="s">
        <v>1548</v>
      </c>
      <c r="X420" s="104" t="s">
        <v>386</v>
      </c>
      <c r="Y420" s="129"/>
      <c r="Z420" s="104"/>
      <c r="AA420" s="105">
        <v>1</v>
      </c>
      <c r="AB420" s="103" t="s">
        <v>377</v>
      </c>
      <c r="AC420" s="152" t="s">
        <v>371</v>
      </c>
      <c r="AD420" s="107">
        <v>0.3125</v>
      </c>
      <c r="AE420" s="105"/>
      <c r="AF420" s="105"/>
      <c r="AG420" s="105"/>
      <c r="AH420" s="15"/>
      <c r="AI420" s="126" t="str">
        <f>IF(BS_CONTROLE[[#This Row],[Atividade]]=0, "-", BS_CONTROLE[[#This Row],[Atividade]])</f>
        <v>OUTRAS ATIVIDADES</v>
      </c>
      <c r="AJ420" s="9" t="str">
        <f>IF(BS_CONTROLE[[#This Row],[Atividade]]=0, "-", BS_CONTROLE[[#This Row],[Atividade]])</f>
        <v>OUTRAS ATIVIDADES</v>
      </c>
      <c r="AK420" s="31" t="str">
        <f>BS_CONTROLE[[#This Row],[Local - Partida]]</f>
        <v>Z3V3</v>
      </c>
      <c r="AL420" s="31" t="str">
        <f>BS_CONTROLE[[#This Row],[Local - Encerramento]]</f>
        <v>Z3V3</v>
      </c>
      <c r="AM420" s="105" t="str">
        <f>IF(BS_CONTROLE[[#This Row],[Entre - Estações]]=0, "-", BS_CONTROLE[[#This Row],[Entre - Estações]])</f>
        <v>ZEV</v>
      </c>
      <c r="AN420" s="105" t="str">
        <f>IF(BS_CONTROLE[[#This Row],[SB]]=0, "-", BS_CONTROLE[[#This Row],[SB]])</f>
        <v>K67ZEV1</v>
      </c>
      <c r="AO420" s="105">
        <f>IF(BS_CONTROLE[[#This Row],[SUB]]=0, "-", BS_CONTROLE[[#This Row],[SUB]])</f>
        <v>54</v>
      </c>
      <c r="AP420" s="105">
        <f>BS_CONTROLE[[#This Row],[KM - Inicio]]</f>
        <v>66</v>
      </c>
      <c r="AQ420" s="105">
        <f>BS_CONTROLE[[#This Row],[KM - Inicio]]</f>
        <v>66</v>
      </c>
      <c r="AR420" s="108"/>
      <c r="AS420" s="108"/>
      <c r="AT420" s="108"/>
      <c r="AU420" s="136"/>
      <c r="AV420" s="136"/>
      <c r="AW420" s="14"/>
      <c r="AX420" s="14"/>
      <c r="AY420" s="164">
        <f>IF(D420="","*",IFERROR(IF(ISODD(COUNT(AS420:AX420)),"ERRO",SUM((AT420-AS420),(AV420-AU420),(AX420-AW420))),"ERRO"))</f>
        <v>0</v>
      </c>
      <c r="AZ420" s="153"/>
      <c r="BA420" s="109"/>
      <c r="BB420" s="10" t="str">
        <f>IFERROR(_xlfn.XLOOKUP(AI420, BS_ATIVIDADE[ATIVIDADE],BS_ATIVIDADE[UNIDADE] ), "*")</f>
        <v>BINÁRIO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Produção e Intervalo</v>
      </c>
      <c r="BR420" s="19">
        <f>IF(OR(B420="",F420=""),"*",AY420/P420)</f>
        <v>0</v>
      </c>
      <c r="BS420" s="19">
        <f>IF(OR(B420="",F420=""),"*",BA420/Q420)</f>
        <v>0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>MOD ZEZ46094</v>
      </c>
      <c r="B422" s="102">
        <v>46094</v>
      </c>
      <c r="C422" s="135">
        <f>IF(BS_CONTROLE[[#This Row],[DATA]]="","",WEEKNUM(BS_CONTROLE[[#This Row],[DATA]]))</f>
        <v>11</v>
      </c>
      <c r="D422" s="104" t="s">
        <v>574</v>
      </c>
      <c r="E422" s="159">
        <v>312</v>
      </c>
      <c r="F422" s="126" t="s">
        <v>548</v>
      </c>
      <c r="G422" s="142" t="str">
        <f>IF(D422="","*",VLOOKUP(F422,BS_ATIVIDADE[],3,FALSE))</f>
        <v>OUTROS</v>
      </c>
      <c r="H422" s="106" t="s">
        <v>558</v>
      </c>
      <c r="I422" s="106" t="s">
        <v>558</v>
      </c>
      <c r="J422" s="105">
        <v>92</v>
      </c>
      <c r="K422" s="105">
        <v>75.099999999999994</v>
      </c>
      <c r="L422" s="105">
        <v>81.900000000000006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22" s="127" t="s">
        <v>1549</v>
      </c>
      <c r="O422" s="106">
        <v>0.375</v>
      </c>
      <c r="P422" s="106">
        <v>0.16666666666666666</v>
      </c>
      <c r="Q422" s="105">
        <v>1</v>
      </c>
      <c r="R422" s="10" t="str">
        <f>IFERROR(_xlfn.XLOOKUP(F422, BS_ATIVIDADE[ATIVIDADE],BS_ATIVIDADE[UNIDADE] ), "*")</f>
        <v>BINÁRIO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2" s="105" t="s">
        <v>1012</v>
      </c>
      <c r="W422" s="151" t="s">
        <v>1550</v>
      </c>
      <c r="X422" s="104" t="s">
        <v>381</v>
      </c>
      <c r="Y422" s="129"/>
      <c r="Z422" s="104"/>
      <c r="AA422" s="105" t="s">
        <v>558</v>
      </c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BLOCO</v>
      </c>
      <c r="AJ422" s="9" t="str">
        <f>IF(BS_CONTROLE[[#This Row],[Atividade]]=0, "-", BS_CONTROLE[[#This Row],[Atividade]])</f>
        <v>BLOCO</v>
      </c>
      <c r="AK422" s="31" t="str">
        <f>BS_CONTROLE[[#This Row],[Local - Partida]]</f>
        <v>-</v>
      </c>
      <c r="AL422" s="31" t="str">
        <f>BS_CONTROLE[[#This Row],[Local - Encerramento]]</f>
        <v>-</v>
      </c>
      <c r="AM422" s="105" t="str">
        <f>IF(BS_CONTROLE[[#This Row],[Entre - Estações]]=0, "-", BS_CONTROLE[[#This Row],[Entre - Estações]])</f>
        <v>ZEZ-069</v>
      </c>
      <c r="AN422" s="105" t="str">
        <f>IF(BS_CONTROLE[[#This Row],[SB]]=0, "-", BS_CONTROLE[[#This Row],[SB]])</f>
        <v>ZEZZXW</v>
      </c>
      <c r="AO422" s="105">
        <f>IF(BS_CONTROLE[[#This Row],[SUB]]=0, "-", BS_CONTROLE[[#This Row],[SUB]])</f>
        <v>92</v>
      </c>
      <c r="AP422" s="105">
        <f>BS_CONTROLE[[#This Row],[KM - Inicio]]</f>
        <v>75.099999999999994</v>
      </c>
      <c r="AQ422" s="105">
        <f>BS_CONTROLE[[#This Row],[KM - Inicio]]</f>
        <v>75.099999999999994</v>
      </c>
      <c r="AR422" s="108"/>
      <c r="AS422" s="108"/>
      <c r="AT422" s="108"/>
      <c r="AU422" s="136"/>
      <c r="AV422" s="136"/>
      <c r="AW422" s="14"/>
      <c r="AX422" s="14"/>
      <c r="AY422" s="164">
        <f>IF(D422="","*",IFERROR(IF(ISODD(COUNT(AS422:AX422)),"ERRO",SUM((AT422-AS422),(AV422-AU422),(AX422-AW422))),"ERRO"))</f>
        <v>0</v>
      </c>
      <c r="AZ422" s="153"/>
      <c r="BA422" s="109"/>
      <c r="BB422" s="10" t="str">
        <f>IFERROR(_xlfn.XLOOKUP(AI422, BS_ATIVIDADE[ATIVIDADE],BS_ATIVIDADE[UNIDADE] ), "*")</f>
        <v>BINÁRIO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Produção e Intervalo</v>
      </c>
      <c r="BR422" s="19">
        <f>IF(OR(B422="",F422=""),"*",AY422/P422)</f>
        <v>0</v>
      </c>
      <c r="BS422" s="19">
        <f>IF(OR(B422="",F422=""),"*",BA422/Q422)</f>
        <v>0</v>
      </c>
      <c r="BT422" s="8" t="str">
        <f t="shared" si="9"/>
        <v/>
      </c>
    </row>
    <row r="423" spans="1:72" hidden="1">
      <c r="A423" s="47" t="str">
        <f>D423&amp;B423</f>
        <v>W6146094</v>
      </c>
      <c r="B423" s="102">
        <v>46094</v>
      </c>
      <c r="C423" s="135">
        <f>IF(BS_CONTROLE[[#This Row],[DATA]]="","",WEEKNUM(BS_CONTROLE[[#This Row],[DATA]]))</f>
        <v>11</v>
      </c>
      <c r="D423" s="104" t="s">
        <v>792</v>
      </c>
      <c r="E423" s="159">
        <v>42</v>
      </c>
      <c r="F423" s="126" t="s">
        <v>751</v>
      </c>
      <c r="G423" s="142" t="str">
        <f>IF(D423="","*",VLOOKUP(F423,BS_ATIVIDADE[],3,FALSE))</f>
        <v>OUTROS</v>
      </c>
      <c r="H423" s="106" t="s">
        <v>336</v>
      </c>
      <c r="I423" s="106" t="s">
        <v>336</v>
      </c>
      <c r="J423" s="105">
        <v>92</v>
      </c>
      <c r="K423" s="105">
        <v>78.5</v>
      </c>
      <c r="L423" s="105">
        <v>81.3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23" s="106">
        <v>0.32291666666666669</v>
      </c>
      <c r="P423" s="106">
        <v>6.9444444444444447E-4</v>
      </c>
      <c r="Q423" s="105">
        <v>800</v>
      </c>
      <c r="R423" s="10" t="str">
        <f>IFERROR(_xlfn.XLOOKUP(F423, BS_ATIVIDADE[ATIVIDADE],BS_ATIVIDADE[UNIDADE] ), "*")</f>
        <v>Nº DE PEÇAS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1012</v>
      </c>
      <c r="W423" s="151" t="s">
        <v>1313</v>
      </c>
      <c r="X423" s="104" t="s">
        <v>381</v>
      </c>
      <c r="Y423" s="129"/>
      <c r="Z423" s="104"/>
      <c r="AA423" s="105">
        <v>1</v>
      </c>
      <c r="AB423" s="103" t="s">
        <v>377</v>
      </c>
      <c r="AC423" s="126" t="s">
        <v>371</v>
      </c>
      <c r="AD423" s="107">
        <v>0.3125</v>
      </c>
      <c r="AE423" s="105">
        <v>7663</v>
      </c>
      <c r="AF423" s="107" t="s">
        <v>558</v>
      </c>
      <c r="AG423" s="107" t="s">
        <v>558</v>
      </c>
      <c r="AH423" s="15"/>
      <c r="AI423" s="126" t="str">
        <f>IF(BS_CONTROLE[[#This Row],[Atividade]]=0, "-", BS_CONTROLE[[#This Row],[Atividade]])</f>
        <v>RECOLHIMENTO DE DORMENTE</v>
      </c>
      <c r="AJ423" s="9" t="str">
        <f>IF(BS_CONTROLE[[#This Row],[Atividade]]=0, "-", BS_CONTROLE[[#This Row],[Atividade]])</f>
        <v>RECOLHIMENTO DE DORMENTE</v>
      </c>
      <c r="AK423" s="31" t="str">
        <f>BS_CONTROLE[[#This Row],[Local - Partida]]</f>
        <v>K67ZEV2</v>
      </c>
      <c r="AL423" s="31" t="str">
        <f>BS_CONTROLE[[#This Row],[Local - Encerramento]]</f>
        <v>K67ZEV2</v>
      </c>
      <c r="AM423" s="105" t="str">
        <f>IF(BS_CONTROLE[[#This Row],[Entre - Estações]]=0, "-", BS_CONTROLE[[#This Row],[Entre - Estações]])</f>
        <v>ZXW-ZEZ</v>
      </c>
      <c r="AN423" s="105" t="str">
        <f>IF(BS_CONTROLE[[#This Row],[SB]]=0, "-", BS_CONTROLE[[#This Row],[SB]])</f>
        <v>K79ZEZ2</v>
      </c>
      <c r="AO423" s="105">
        <f>IF(BS_CONTROLE[[#This Row],[SUB]]=0, "-", BS_CONTROLE[[#This Row],[SUB]])</f>
        <v>92</v>
      </c>
      <c r="AP423" s="105">
        <f>BS_CONTROLE[[#This Row],[KM - Inicio]]</f>
        <v>78.5</v>
      </c>
      <c r="AQ423" s="105">
        <f>BS_CONTROLE[[#This Row],[KM - Inicio]]</f>
        <v>78.5</v>
      </c>
      <c r="AR423" s="108"/>
      <c r="AS423" s="108"/>
      <c r="AT423" s="108"/>
      <c r="AU423" s="136"/>
      <c r="AV423" s="136"/>
      <c r="AW423" s="14"/>
      <c r="AX423" s="14"/>
      <c r="AY423" s="164">
        <f>IF(D423="","*",IFERROR(IF(ISODD(COUNT(AS423:AX423)),"ERRO",SUM((AT423-AS423),(AV423-AU423),(AX423-AW423))),"ERRO"))</f>
        <v>0</v>
      </c>
      <c r="AZ423" s="153"/>
      <c r="BA423" s="109"/>
      <c r="BB423" s="10" t="str">
        <f>IFERROR(_xlfn.XLOOKUP(AI423, BS_ATIVIDADE[ATIVIDADE],BS_ATIVIDADE[UNIDADE] ), "*")</f>
        <v>Nº DE PEÇAS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Produção e Intervalo</v>
      </c>
      <c r="BR423" s="19">
        <f>IF(OR(B423="",F423=""),"*",AY423/P423)</f>
        <v>0</v>
      </c>
      <c r="BS423" s="19">
        <f>IF(OR(B423="",F423=""),"*",BA423/Q423)</f>
        <v>0</v>
      </c>
      <c r="BT423" s="8" t="str">
        <f t="shared" si="9"/>
        <v/>
      </c>
    </row>
    <row r="424" spans="1:72" hidden="1">
      <c r="A424" s="47" t="str">
        <f>D424&amp;B424</f>
        <v>MODERNIZAÇÃO TURMA 246094</v>
      </c>
      <c r="B424" s="102">
        <v>46094</v>
      </c>
      <c r="C424" s="135">
        <f>IF(BS_CONTROLE[[#This Row],[DATA]]="","",WEEKNUM(BS_CONTROLE[[#This Row],[DATA]]))</f>
        <v>11</v>
      </c>
      <c r="D424" s="104" t="s">
        <v>596</v>
      </c>
      <c r="E424" s="159">
        <v>418</v>
      </c>
      <c r="F424" s="126" t="s">
        <v>691</v>
      </c>
      <c r="G424" s="142" t="str">
        <f>IF(D424="","*",VLOOKUP(F424,BS_ATIVIDADE[],3,FALSE))</f>
        <v>MODERNIZAÇÃO</v>
      </c>
      <c r="H424" s="106" t="s">
        <v>558</v>
      </c>
      <c r="I424" s="106" t="s">
        <v>558</v>
      </c>
      <c r="J424" s="105">
        <v>92</v>
      </c>
      <c r="K424" s="105">
        <v>80.040000000000006</v>
      </c>
      <c r="L424" s="105">
        <v>80.066999999999993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24" s="106">
        <v>0.375</v>
      </c>
      <c r="P424" s="106">
        <v>6.9444444444444447E-4</v>
      </c>
      <c r="Q424" s="105">
        <v>2</v>
      </c>
      <c r="R424" s="10" t="str">
        <f>IFERROR(_xlfn.XLOOKUP(F424, BS_ATIVIDADE[ATIVIDADE],BS_ATIVIDADE[UNIDADE] ), "*")</f>
        <v>Nº DE SOLDA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1012</v>
      </c>
      <c r="W424" s="151" t="s">
        <v>1025</v>
      </c>
      <c r="X424" s="104" t="s">
        <v>381</v>
      </c>
      <c r="Y424" s="129"/>
      <c r="Z424" s="104"/>
      <c r="AA424" s="105" t="s">
        <v>558</v>
      </c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MODERNIZAÇÃO - SOLDA</v>
      </c>
      <c r="AJ424" s="9" t="str">
        <f>IF(BS_CONTROLE[[#This Row],[Atividade]]=0, "-", BS_CONTROLE[[#This Row],[Atividade]])</f>
        <v>MODERNIZAÇÃO - SOLDA</v>
      </c>
      <c r="AK424" s="31" t="str">
        <f>BS_CONTROLE[[#This Row],[Local - Partida]]</f>
        <v>-</v>
      </c>
      <c r="AL424" s="31" t="str">
        <f>BS_CONTROLE[[#This Row],[Local - Encerramento]]</f>
        <v>-</v>
      </c>
      <c r="AM424" s="105" t="str">
        <f>IF(BS_CONTROLE[[#This Row],[Entre - Estações]]=0, "-", BS_CONTROLE[[#This Row],[Entre - Estações]])</f>
        <v>ZXW-ZEZ</v>
      </c>
      <c r="AN424" s="105" t="str">
        <f>IF(BS_CONTROLE[[#This Row],[SB]]=0, "-", BS_CONTROLE[[#This Row],[SB]])</f>
        <v>ZXWK792</v>
      </c>
      <c r="AO424" s="105">
        <f>IF(BS_CONTROLE[[#This Row],[SUB]]=0, "-", BS_CONTROLE[[#This Row],[SUB]])</f>
        <v>92</v>
      </c>
      <c r="AP424" s="105">
        <f>BS_CONTROLE[[#This Row],[KM - Inicio]]</f>
        <v>80.040000000000006</v>
      </c>
      <c r="AQ424" s="105">
        <f>BS_CONTROLE[[#This Row],[KM - Inicio]]</f>
        <v>80.040000000000006</v>
      </c>
      <c r="AR424" s="108"/>
      <c r="AS424" s="108"/>
      <c r="AT424" s="108"/>
      <c r="AU424" s="136"/>
      <c r="AV424" s="136"/>
      <c r="AW424" s="14"/>
      <c r="AX424" s="14"/>
      <c r="AY424" s="164">
        <f>IF(D424="","*",IFERROR(IF(ISODD(COUNT(AS424:AX424)),"ERRO",SUM((AT424-AS424),(AV424-AU424),(AX424-AW424))),"ERRO"))</f>
        <v>0</v>
      </c>
      <c r="AZ424" s="153"/>
      <c r="BA424" s="109"/>
      <c r="BB424" s="10" t="str">
        <f>IFERROR(_xlfn.XLOOKUP(AI424, BS_ATIVIDADE[ATIVIDADE],BS_ATIVIDADE[UNIDADE] ), "*")</f>
        <v>Nº DE SOLDA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Produção e Intervalo</v>
      </c>
      <c r="BR424" s="19">
        <f>IF(OR(B424="",F424=""),"*",AY424/P424)</f>
        <v>0</v>
      </c>
      <c r="BS424" s="19">
        <f>IF(OR(B424="",F424=""),"*",BA424/Q424)</f>
        <v>0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>W6246094</v>
      </c>
      <c r="B426" s="102">
        <v>46094</v>
      </c>
      <c r="C426" s="135">
        <f>IF(BS_CONTROLE[[#This Row],[DATA]]="","",WEEKNUM(BS_CONTROLE[[#This Row],[DATA]]))</f>
        <v>11</v>
      </c>
      <c r="D426" s="104" t="s">
        <v>793</v>
      </c>
      <c r="E426" s="159">
        <v>420</v>
      </c>
      <c r="F426" s="126" t="s">
        <v>572</v>
      </c>
      <c r="G426" s="142" t="str">
        <f>IF(D426="","*",VLOOKUP(F426,BS_ATIVIDADE[],3,FALSE))</f>
        <v>OUTROS</v>
      </c>
      <c r="H426" s="106" t="s">
        <v>1263</v>
      </c>
      <c r="I426" s="106" t="s">
        <v>1225</v>
      </c>
      <c r="J426" s="105">
        <v>54</v>
      </c>
      <c r="K426" s="105">
        <v>83.7</v>
      </c>
      <c r="L426" s="105" t="s">
        <v>558</v>
      </c>
      <c r="M426" s="127" t="s">
        <v>1551</v>
      </c>
      <c r="N426" s="127" t="s">
        <v>1552</v>
      </c>
      <c r="O426" s="106">
        <v>0.33333333333333331</v>
      </c>
      <c r="P426" s="106">
        <v>4.1666666666666664E-2</v>
      </c>
      <c r="Q426" s="105">
        <v>1</v>
      </c>
      <c r="R426" s="10" t="str">
        <f>IFERROR(_xlfn.XLOOKUP(F426, BS_ATIVIDADE[ATIVIDADE],BS_ATIVIDADE[UNIDADE] ), "*")</f>
        <v>BINÁRIO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6" s="105" t="s">
        <v>1029</v>
      </c>
      <c r="W426" s="151" t="s">
        <v>1553</v>
      </c>
      <c r="X426" s="104" t="s">
        <v>386</v>
      </c>
      <c r="Y426" s="129"/>
      <c r="Z426" s="104"/>
      <c r="AA426" s="105">
        <v>1</v>
      </c>
      <c r="AB426" s="103" t="s">
        <v>377</v>
      </c>
      <c r="AC426" s="152" t="s">
        <v>371</v>
      </c>
      <c r="AD426" s="107">
        <v>0.3125</v>
      </c>
      <c r="AE426" s="105">
        <v>9049</v>
      </c>
      <c r="AF426" s="105" t="s">
        <v>558</v>
      </c>
      <c r="AG426" s="105"/>
      <c r="AH426" s="15"/>
      <c r="AI426" s="126" t="str">
        <f>IF(BS_CONTROLE[[#This Row],[Atividade]]=0, "-", BS_CONTROLE[[#This Row],[Atividade]])</f>
        <v>DESLOCAMENTO</v>
      </c>
      <c r="AJ426" s="9" t="str">
        <f>IF(BS_CONTROLE[[#This Row],[Atividade]]=0, "-", BS_CONTROLE[[#This Row],[Atividade]])</f>
        <v>DESLOCAMENTO</v>
      </c>
      <c r="AK426" s="31" t="str">
        <f>BS_CONTROLE[[#This Row],[Local - Partida]]</f>
        <v>ZPT105-1</v>
      </c>
      <c r="AL426" s="31" t="str">
        <f>BS_CONTROLE[[#This Row],[Local - Encerramento]]</f>
        <v>ZDRZPT</v>
      </c>
      <c r="AM426" s="105" t="str">
        <f>IF(BS_CONTROLE[[#This Row],[Entre - Estações]]=0, "-", BS_CONTROLE[[#This Row],[Entre - Estações]])</f>
        <v>ZPT-ZXW</v>
      </c>
      <c r="AN426" s="105" t="str">
        <f>IF(BS_CONTROLE[[#This Row],[SB]]=0, "-", BS_CONTROLE[[#This Row],[SB]])</f>
        <v>ZPTZXW</v>
      </c>
      <c r="AO426" s="105">
        <f>IF(BS_CONTROLE[[#This Row],[SUB]]=0, "-", BS_CONTROLE[[#This Row],[SUB]])</f>
        <v>54</v>
      </c>
      <c r="AP426" s="105">
        <f>BS_CONTROLE[[#This Row],[KM - Inicio]]</f>
        <v>83.7</v>
      </c>
      <c r="AQ426" s="105">
        <f>BS_CONTROLE[[#This Row],[KM - Inicio]]</f>
        <v>83.7</v>
      </c>
      <c r="AR426" s="108"/>
      <c r="AS426" s="108"/>
      <c r="AT426" s="108"/>
      <c r="AU426" s="136"/>
      <c r="AV426" s="136"/>
      <c r="AW426" s="14"/>
      <c r="AX426" s="14"/>
      <c r="AY426" s="164">
        <f>IF(D426="","*",IFERROR(IF(ISODD(COUNT(AS426:AX426)),"ERRO",SUM((AT426-AS426),(AV426-AU426),(AX426-AW426))),"ERRO"))</f>
        <v>0</v>
      </c>
      <c r="AZ426" s="153"/>
      <c r="BA426" s="109"/>
      <c r="BB426" s="10" t="str">
        <f>IFERROR(_xlfn.XLOOKUP(AI426, BS_ATIVIDADE[ATIVIDADE],BS_ATIVIDADE[UNIDADE] ), "*")</f>
        <v>BINÁRIO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Produção e Intervalo</v>
      </c>
      <c r="BR426" s="19">
        <f>IF(OR(B426="",F426=""),"*",AY426/P426)</f>
        <v>0</v>
      </c>
      <c r="BS426" s="19">
        <f>IF(OR(B426="",F426=""),"*",BA426/Q426)</f>
        <v>0</v>
      </c>
      <c r="BT426" s="8" t="str">
        <f t="shared" si="9"/>
        <v/>
      </c>
    </row>
    <row r="427" spans="1:72" hidden="1">
      <c r="A427" s="47" t="str">
        <f>D427&amp;B427</f>
        <v>MOD ZGP46094</v>
      </c>
      <c r="B427" s="102">
        <v>46094</v>
      </c>
      <c r="C427" s="135">
        <f>IF(BS_CONTROLE[[#This Row],[DATA]]="","",WEEKNUM(BS_CONTROLE[[#This Row],[DATA]]))</f>
        <v>11</v>
      </c>
      <c r="D427" s="104" t="s">
        <v>915</v>
      </c>
      <c r="E427" s="159">
        <v>46</v>
      </c>
      <c r="F427" s="126" t="s">
        <v>548</v>
      </c>
      <c r="G427" s="142" t="str">
        <f>IF(D427="","*",VLOOKUP(F427,BS_ATIVIDADE[],3,FALSE))</f>
        <v>OUTROS</v>
      </c>
      <c r="H427" s="106" t="s">
        <v>558</v>
      </c>
      <c r="I427" s="106" t="s">
        <v>558</v>
      </c>
      <c r="J427" s="105">
        <v>92</v>
      </c>
      <c r="K427" s="105">
        <v>102</v>
      </c>
      <c r="L427" s="105">
        <v>106.3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7" s="106">
        <v>0.47916666666666669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1012</v>
      </c>
      <c r="W427" s="151" t="s">
        <v>1526</v>
      </c>
      <c r="X427" s="104" t="s">
        <v>386</v>
      </c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</v>
      </c>
      <c r="AN427" s="105" t="str">
        <f>IF(BS_CONTROLE[[#This Row],[SB]]=0, "-", BS_CONTROLE[[#This Row],[SB]])</f>
        <v>ZGP2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/>
      <c r="AS427" s="108"/>
      <c r="AT427" s="108"/>
      <c r="AU427" s="136"/>
      <c r="AV427" s="136"/>
      <c r="AW427" s="14"/>
      <c r="AX427" s="14"/>
      <c r="AY427" s="164">
        <f>IF(D427="","*",IFERROR(IF(ISODD(COUNT(AS427:AX427)),"ERRO",SUM((AT427-AS427),(AV427-AU427),(AX427-AW427))),"ERRO"))</f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Produção e Intervalo</v>
      </c>
      <c r="BR427" s="19">
        <f>IF(OR(B427="",F427=""),"*",AY427/P427)</f>
        <v>0</v>
      </c>
      <c r="BS427" s="19">
        <f>IF(OR(B427="",F427=""),"*",BA427/Q427)</f>
        <v>0</v>
      </c>
      <c r="BT427" s="8" t="str">
        <f t="shared" si="9"/>
        <v/>
      </c>
    </row>
    <row r="428" spans="1:72" hidden="1">
      <c r="A428" s="47" t="str">
        <f>D428&amp;B428</f>
        <v>V8546094</v>
      </c>
      <c r="B428" s="102">
        <v>46094</v>
      </c>
      <c r="C428" s="135">
        <f>IF(BS_CONTROLE[[#This Row],[DATA]]="","",WEEKNUM(BS_CONTROLE[[#This Row],[DATA]]))</f>
        <v>11</v>
      </c>
      <c r="D428" s="104" t="s">
        <v>759</v>
      </c>
      <c r="E428" s="159">
        <v>318</v>
      </c>
      <c r="F428" s="126" t="s">
        <v>663</v>
      </c>
      <c r="G428" s="142" t="str">
        <f>IF(D428="","*",VLOOKUP(F428,BS_ATIVIDADE[],3,FALSE))</f>
        <v>MECANIZAÇÃO - SOCADORA</v>
      </c>
      <c r="H428" s="106" t="s">
        <v>1225</v>
      </c>
      <c r="I428" s="106" t="s">
        <v>1225</v>
      </c>
      <c r="J428" s="105">
        <v>92</v>
      </c>
      <c r="K428" s="105">
        <v>102.1</v>
      </c>
      <c r="L428" s="105">
        <v>103.54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0.41666666666666669</v>
      </c>
      <c r="P428" s="106">
        <v>0</v>
      </c>
      <c r="Q428" s="105">
        <v>1310</v>
      </c>
      <c r="R428" s="10" t="str">
        <f>IFERROR(_xlfn.XLOOKUP(F428, BS_ATIVIDADE[ATIVIDADE],BS_ATIVIDADE[UNIDADE] ), "*")</f>
        <v>M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1012</v>
      </c>
      <c r="W428" s="151" t="s">
        <v>1317</v>
      </c>
      <c r="X428" s="104" t="s">
        <v>386</v>
      </c>
      <c r="Y428" s="129"/>
      <c r="Z428" s="104"/>
      <c r="AA428" s="105">
        <v>1</v>
      </c>
      <c r="AB428" s="103" t="s">
        <v>377</v>
      </c>
      <c r="AC428" s="152" t="s">
        <v>371</v>
      </c>
      <c r="AD428" s="107">
        <v>0.3125</v>
      </c>
      <c r="AE428" s="105">
        <v>2235</v>
      </c>
      <c r="AF428" s="105" t="s">
        <v>558</v>
      </c>
      <c r="AG428" s="105"/>
      <c r="AH428" s="15"/>
      <c r="AI428" s="126" t="str">
        <f>IF(BS_CONTROLE[[#This Row],[Atividade]]=0, "-", BS_CONTROLE[[#This Row],[Atividade]])</f>
        <v>MECANIZAÇÃO - SOCADORA</v>
      </c>
      <c r="AJ428" s="9" t="str">
        <f>IF(BS_CONTROLE[[#This Row],[Atividade]]=0, "-", BS_CONTROLE[[#This Row],[Atividade]])</f>
        <v>MECANIZAÇÃO - SOCADORA</v>
      </c>
      <c r="AK428" s="31" t="str">
        <f>BS_CONTROLE[[#This Row],[Local - Partida]]</f>
        <v>ZDRZPT</v>
      </c>
      <c r="AL428" s="31" t="str">
        <f>BS_CONTROLE[[#This Row],[Local - Encerramento]]</f>
        <v>ZDRZPT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/>
      <c r="AS428" s="108"/>
      <c r="AT428" s="108"/>
      <c r="AU428" s="136"/>
      <c r="AV428" s="136"/>
      <c r="AW428" s="14"/>
      <c r="AX428" s="14"/>
      <c r="AY428" s="164">
        <f>IF(D428="","*",IFERROR(IF(ISODD(COUNT(AS428:AX428)),"ERRO",SUM((AT428-AS428),(AV428-AU428),(AX428-AW428))),"ERRO"))</f>
        <v>0</v>
      </c>
      <c r="AZ428" s="153"/>
      <c r="BA428" s="109"/>
      <c r="BB428" s="10" t="str">
        <f>IFERROR(_xlfn.XLOOKUP(AI428, BS_ATIVIDADE[ATIVIDADE],BS_ATIVIDADE[UNIDADE] ), "*")</f>
        <v>M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e">
        <f>IF(AND(BR428&lt;1,BS428&lt;1),"Produção e Intervalo",IF(BR428&lt;1,"Intervalo",IF(BS428&lt;1,"Produção","Aderente")))</f>
        <v>#DIV/0!</v>
      </c>
      <c r="BR428" s="19" t="e">
        <f>IF(OR(B428="",F428=""),"*",AY428/P428)</f>
        <v>#DIV/0!</v>
      </c>
      <c r="BS428" s="19">
        <f>IF(OR(B428="",F428=""),"*",BA428/Q428)</f>
        <v>0</v>
      </c>
      <c r="BT428" s="8" t="str">
        <f t="shared" si="9"/>
        <v/>
      </c>
    </row>
    <row r="429" spans="1:72" hidden="1">
      <c r="A429" s="47" t="str">
        <f>D429&amp;B429</f>
        <v>HUELTON (TP-725)46094</v>
      </c>
      <c r="B429" s="102">
        <v>46094</v>
      </c>
      <c r="C429" s="135">
        <f>IF(BS_CONTROLE[[#This Row],[DATA]]="","",WEEKNUM(BS_CONTROLE[[#This Row],[DATA]]))</f>
        <v>11</v>
      </c>
      <c r="D429" s="104" t="s">
        <v>854</v>
      </c>
      <c r="E429" s="159">
        <v>423</v>
      </c>
      <c r="F429" s="126" t="s">
        <v>740</v>
      </c>
      <c r="G429" s="142" t="str">
        <f>IF(D429="","*",VLOOKUP(F429,BS_ATIVIDADE[],3,FALSE))</f>
        <v>SOLDA</v>
      </c>
      <c r="H429" s="106" t="s">
        <v>558</v>
      </c>
      <c r="I429" s="106" t="s">
        <v>558</v>
      </c>
      <c r="J429" s="105">
        <v>92</v>
      </c>
      <c r="K429" s="105">
        <v>106.8</v>
      </c>
      <c r="L429" s="105" t="s">
        <v>558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29" s="127" t="s">
        <v>367</v>
      </c>
      <c r="O429" s="106">
        <v>0.375</v>
      </c>
      <c r="P429" s="106">
        <v>0.125</v>
      </c>
      <c r="Q429" s="105">
        <v>2</v>
      </c>
      <c r="R429" s="10" t="str">
        <f>IFERROR(_xlfn.XLOOKUP(F429, BS_ATIVIDADE[ATIVIDADE],BS_ATIVIDADE[UNIDADE] ), "*")</f>
        <v>Nº DE SOLDA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1029</v>
      </c>
      <c r="W429" s="151" t="s">
        <v>1025</v>
      </c>
      <c r="X429" s="104" t="s">
        <v>386</v>
      </c>
      <c r="Y429" s="129"/>
      <c r="Z429" s="104"/>
      <c r="AA429" s="105" t="s">
        <v>558</v>
      </c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PDM - SOLDA</v>
      </c>
      <c r="AJ429" s="9" t="str">
        <f>IF(BS_CONTROLE[[#This Row],[Atividade]]=0, "-", BS_CONTROLE[[#This Row],[Atividade]])</f>
        <v>PDM - SOLDA</v>
      </c>
      <c r="AK429" s="31" t="str">
        <f>BS_CONTROLE[[#This Row],[Local - Partida]]</f>
        <v>-</v>
      </c>
      <c r="AL429" s="31" t="str">
        <f>BS_CONTROLE[[#This Row],[Local - Encerramento]]</f>
        <v>-</v>
      </c>
      <c r="AM429" s="105" t="str">
        <f>IF(BS_CONTROLE[[#This Row],[Entre - Estações]]=0, "-", BS_CONTROLE[[#This Row],[Entre - Estações]])</f>
        <v>ZPT</v>
      </c>
      <c r="AN429" s="105" t="str">
        <f>IF(BS_CONTROLE[[#This Row],[SB]]=0, "-", BS_CONTROLE[[#This Row],[SB]])</f>
        <v>ZPT2</v>
      </c>
      <c r="AO429" s="105">
        <f>IF(BS_CONTROLE[[#This Row],[SUB]]=0, "-", BS_CONTROLE[[#This Row],[SUB]])</f>
        <v>92</v>
      </c>
      <c r="AP429" s="105">
        <f>BS_CONTROLE[[#This Row],[KM - Inicio]]</f>
        <v>106.8</v>
      </c>
      <c r="AQ429" s="105">
        <f>BS_CONTROLE[[#This Row],[KM - Inicio]]</f>
        <v>106.8</v>
      </c>
      <c r="AR429" s="108"/>
      <c r="AS429" s="108"/>
      <c r="AT429" s="108"/>
      <c r="AU429" s="136"/>
      <c r="AV429" s="136"/>
      <c r="AW429" s="14"/>
      <c r="AX429" s="14"/>
      <c r="AY429" s="164">
        <f>IF(D429="","*",IFERROR(IF(ISODD(COUNT(AS429:AX429)),"ERRO",SUM((AT429-AS429),(AV429-AU429),(AX429-AW429))),"ERRO"))</f>
        <v>0</v>
      </c>
      <c r="AZ429" s="153"/>
      <c r="BA429" s="109"/>
      <c r="BB429" s="10" t="str">
        <f>IFERROR(_xlfn.XLOOKUP(AI429, BS_ATIVIDADE[ATIVIDADE],BS_ATIVIDADE[UNIDADE] ), "*")</f>
        <v>Nº DE SOLDA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Produção e Intervalo</v>
      </c>
      <c r="BR429" s="19">
        <f>IF(OR(B429="",F429=""),"*",AY429/P429)</f>
        <v>0</v>
      </c>
      <c r="BS429" s="19">
        <f>IF(OR(B429="",F429=""),"*",BA429/Q429)</f>
        <v>0</v>
      </c>
      <c r="BT429" s="8" t="str">
        <f t="shared" si="9"/>
        <v/>
      </c>
    </row>
    <row r="430" spans="1:72" hidden="1">
      <c r="A430" s="47" t="str">
        <f>D430&amp;B430</f>
        <v>EXPANSÃO TURMA 146094</v>
      </c>
      <c r="B430" s="102">
        <v>46094</v>
      </c>
      <c r="C430" s="135">
        <f>IF(BS_CONTROLE[[#This Row],[DATA]]="","",WEEKNUM(BS_CONTROLE[[#This Row],[DATA]]))</f>
        <v>11</v>
      </c>
      <c r="D430" s="104" t="s">
        <v>559</v>
      </c>
      <c r="E430" s="159">
        <v>285</v>
      </c>
      <c r="F430" s="126" t="s">
        <v>619</v>
      </c>
      <c r="G430" s="142" t="str">
        <f>IF(D430="","*",VLOOKUP(F430,BS_ATIVIDADE[],3,FALSE))</f>
        <v>EXPANSÃO</v>
      </c>
      <c r="H430" s="106" t="s">
        <v>558</v>
      </c>
      <c r="I430" s="106" t="s">
        <v>558</v>
      </c>
      <c r="J430" s="105">
        <v>30</v>
      </c>
      <c r="K430" s="105">
        <v>111.5</v>
      </c>
      <c r="L430" s="105">
        <v>112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0" s="127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430" s="106">
        <v>0.41666666666666669</v>
      </c>
      <c r="P430" s="106">
        <v>6.25E-2</v>
      </c>
      <c r="Q430" s="105">
        <v>1</v>
      </c>
      <c r="R430" s="10" t="str">
        <f>IFERROR(_xlfn.XLOOKUP(F430, BS_ATIVIDADE[ATIVIDADE],BS_ATIVIDADE[UNIDADE] ), "*")</f>
        <v>Nº DE SOLDA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0" s="105" t="s">
        <v>1047</v>
      </c>
      <c r="W430" s="151" t="s">
        <v>1025</v>
      </c>
      <c r="X430" s="104" t="s">
        <v>386</v>
      </c>
      <c r="Y430" s="129"/>
      <c r="Z430" s="104"/>
      <c r="AA430" s="105" t="s">
        <v>558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EXPANSÃO - SOLDA</v>
      </c>
      <c r="AJ430" s="9" t="str">
        <f>IF(BS_CONTROLE[[#This Row],[Atividade]]=0, "-", BS_CONTROLE[[#This Row],[Atividade]])</f>
        <v>EXPANSÃO - SOLDA</v>
      </c>
      <c r="AK430" s="31" t="str">
        <f>BS_CONTROLE[[#This Row],[Local - Partida]]</f>
        <v>-</v>
      </c>
      <c r="AL430" s="31" t="str">
        <f>BS_CONTROLE[[#This Row],[Local - Encerramento]]</f>
        <v>-</v>
      </c>
      <c r="AM430" s="105" t="str">
        <f>IF(BS_CONTROLE[[#This Row],[Entre - Estações]]=0, "-", BS_CONTROLE[[#This Row],[Entre - Estações]])</f>
        <v>ZGM-109</v>
      </c>
      <c r="AN430" s="105">
        <f>IF(BS_CONTROLE[[#This Row],[SB]]=0, "-", BS_CONTROLE[[#This Row],[SB]])</f>
        <v>1121111</v>
      </c>
      <c r="AO430" s="105">
        <f>IF(BS_CONTROLE[[#This Row],[SUB]]=0, "-", BS_CONTROLE[[#This Row],[SUB]])</f>
        <v>30</v>
      </c>
      <c r="AP430" s="105">
        <f>BS_CONTROLE[[#This Row],[KM - Inicio]]</f>
        <v>111.5</v>
      </c>
      <c r="AQ430" s="105">
        <f>BS_CONTROLE[[#This Row],[KM - Inicio]]</f>
        <v>111.5</v>
      </c>
      <c r="AR430" s="108"/>
      <c r="AS430" s="108"/>
      <c r="AT430" s="108"/>
      <c r="AU430" s="136"/>
      <c r="AV430" s="136"/>
      <c r="AW430" s="14"/>
      <c r="AX430" s="14"/>
      <c r="AY430" s="164">
        <f>IF(D430="","*",IFERROR(IF(ISODD(COUNT(AS430:AX430)),"ERRO",SUM((AT430-AS430),(AV430-AU430),(AX430-AW430))),"ERRO"))</f>
        <v>0</v>
      </c>
      <c r="AZ430" s="153"/>
      <c r="BA430" s="109"/>
      <c r="BB430" s="10" t="str">
        <f>IFERROR(_xlfn.XLOOKUP(AI430, BS_ATIVIDADE[ATIVIDADE],BS_ATIVIDADE[UNIDADE] ), "*")</f>
        <v>Nº DE SOLDA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Produção e Intervalo</v>
      </c>
      <c r="BR430" s="19">
        <f>IF(OR(B430="",F430=""),"*",AY430/P430)</f>
        <v>0</v>
      </c>
      <c r="BS430" s="19">
        <f>IF(OR(B430="",F430=""),"*",BA430/Q430)</f>
        <v>0</v>
      </c>
      <c r="BT430" s="8" t="str">
        <f t="shared" si="9"/>
        <v/>
      </c>
    </row>
    <row r="431" spans="1:72" hidden="1">
      <c r="A431" s="47" t="str">
        <f>D431&amp;B431</f>
        <v>LEANDRO (TP-727)46094</v>
      </c>
      <c r="B431" s="102">
        <v>46094</v>
      </c>
      <c r="C431" s="135">
        <f>IF(BS_CONTROLE[[#This Row],[DATA]]="","",WEEKNUM(BS_CONTROLE[[#This Row],[DATA]]))</f>
        <v>11</v>
      </c>
      <c r="D431" s="104" t="s">
        <v>878</v>
      </c>
      <c r="E431" s="159">
        <v>425</v>
      </c>
      <c r="F431" s="126" t="s">
        <v>744</v>
      </c>
      <c r="G431" s="142" t="str">
        <f>IF(D431="","*",VLOOKUP(F431,BS_ATIVIDADE[],3,FALSE))</f>
        <v>DORMENTE - SUBSTITUIÇÂO</v>
      </c>
      <c r="H431" s="106" t="s">
        <v>558</v>
      </c>
      <c r="I431" s="106" t="s">
        <v>558</v>
      </c>
      <c r="J431" s="105">
        <v>30</v>
      </c>
      <c r="K431" s="105">
        <v>113</v>
      </c>
      <c r="L431" s="105" t="s">
        <v>558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1" s="127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431" s="106">
        <v>0.41666666666666669</v>
      </c>
      <c r="P431" s="106">
        <v>8.3333333333333329E-2</v>
      </c>
      <c r="Q431" s="105">
        <v>30</v>
      </c>
      <c r="R431" s="10" t="str">
        <f>IFERROR(_xlfn.XLOOKUP(F431, BS_ATIVIDADE[ATIVIDADE],BS_ATIVIDADE[UNIDADE] ), "*")</f>
        <v>Nº DE DORMENTES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1" s="105" t="s">
        <v>1029</v>
      </c>
      <c r="W431" s="151" t="s">
        <v>1554</v>
      </c>
      <c r="X431" s="104" t="s">
        <v>381</v>
      </c>
      <c r="Y431" s="129"/>
      <c r="Z431" s="104"/>
      <c r="AA431" s="105" t="s">
        <v>558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PDM - SUBSTITUIÇÃO - DORMENTE</v>
      </c>
      <c r="AJ431" s="9" t="str">
        <f>IF(BS_CONTROLE[[#This Row],[Atividade]]=0, "-", BS_CONTROLE[[#This Row],[Atividade]])</f>
        <v>PDM - SUBSTITUIÇÃO - DORMENTE</v>
      </c>
      <c r="AK431" s="31" t="str">
        <f>BS_CONTROLE[[#This Row],[Local - Partida]]</f>
        <v>-</v>
      </c>
      <c r="AL431" s="31" t="str">
        <f>BS_CONTROLE[[#This Row],[Local - Encerramento]]</f>
        <v>-</v>
      </c>
      <c r="AM431" s="105" t="str">
        <f>IF(BS_CONTROLE[[#This Row],[Entre - Estações]]=0, "-", BS_CONTROLE[[#This Row],[Entre - Estações]])</f>
        <v>ZGM-109</v>
      </c>
      <c r="AN431" s="105">
        <f>IF(BS_CONTROLE[[#This Row],[SB]]=0, "-", BS_CONTROLE[[#This Row],[SB]])</f>
        <v>1131121</v>
      </c>
      <c r="AO431" s="105">
        <f>IF(BS_CONTROLE[[#This Row],[SUB]]=0, "-", BS_CONTROLE[[#This Row],[SUB]])</f>
        <v>30</v>
      </c>
      <c r="AP431" s="105">
        <f>BS_CONTROLE[[#This Row],[KM - Inicio]]</f>
        <v>113</v>
      </c>
      <c r="AQ431" s="105">
        <f>BS_CONTROLE[[#This Row],[KM - Inicio]]</f>
        <v>113</v>
      </c>
      <c r="AR431" s="108"/>
      <c r="AS431" s="108"/>
      <c r="AT431" s="108"/>
      <c r="AU431" s="136"/>
      <c r="AV431" s="136"/>
      <c r="AW431" s="14"/>
      <c r="AX431" s="14"/>
      <c r="AY431" s="164">
        <f>IF(D431="","*",IFERROR(IF(ISODD(COUNT(AS431:AX431)),"ERRO",SUM((AT431-AS431),(AV431-AU431),(AX431-AW431))),"ERRO"))</f>
        <v>0</v>
      </c>
      <c r="AZ431" s="153"/>
      <c r="BA431" s="109"/>
      <c r="BB431" s="10" t="str">
        <f>IFERROR(_xlfn.XLOOKUP(AI431, BS_ATIVIDADE[ATIVIDADE],BS_ATIVIDADE[UNIDADE] ), "*")</f>
        <v>Nº DE DORMENTES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Produção e Intervalo</v>
      </c>
      <c r="BR431" s="19">
        <f>IF(OR(B431="",F431=""),"*",AY431/P431)</f>
        <v>0</v>
      </c>
      <c r="BS431" s="19">
        <f>IF(OR(B431="",F431=""),"*",BA431/Q431)</f>
        <v>0</v>
      </c>
      <c r="BT431" s="8" t="str">
        <f t="shared" si="9"/>
        <v/>
      </c>
    </row>
    <row r="432" spans="1:72" hidden="1">
      <c r="A432" s="47" t="str">
        <f>D432&amp;B432</f>
        <v>RAFAEL (TP-695)46094</v>
      </c>
      <c r="B432" s="102">
        <v>46094</v>
      </c>
      <c r="C432" s="135">
        <f>IF(BS_CONTROLE[[#This Row],[DATA]]="","",WEEKNUM(BS_CONTROLE[[#This Row],[DATA]]))</f>
        <v>11</v>
      </c>
      <c r="D432" s="104" t="s">
        <v>892</v>
      </c>
      <c r="E432" s="159">
        <v>426</v>
      </c>
      <c r="F432" s="126" t="s">
        <v>714</v>
      </c>
      <c r="G432" s="142" t="str">
        <f>IF(D432="","*",VLOOKUP(F432,BS_ATIVIDADE[],3,FALSE))</f>
        <v>AMV</v>
      </c>
      <c r="H432" s="106" t="s">
        <v>558</v>
      </c>
      <c r="I432" s="106" t="s">
        <v>558</v>
      </c>
      <c r="J432" s="105">
        <v>53</v>
      </c>
      <c r="K432" s="105">
        <v>122.7</v>
      </c>
      <c r="L432" s="105">
        <v>122.6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432" s="106">
        <v>0.375</v>
      </c>
      <c r="P432" s="106">
        <v>0.125</v>
      </c>
      <c r="Q432" s="105">
        <v>1</v>
      </c>
      <c r="R432" s="10" t="str">
        <f>IFERROR(_xlfn.XLOOKUP(F432, BS_ATIVIDADE[ATIVIDADE],BS_ATIVIDADE[UNIDADE] ), "*")</f>
        <v>Nº DE PEÇAS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1029</v>
      </c>
      <c r="W432" s="151" t="s">
        <v>1088</v>
      </c>
      <c r="X432" s="104" t="s">
        <v>386</v>
      </c>
      <c r="Y432" s="129"/>
      <c r="Z432" s="104"/>
      <c r="AA432" s="105" t="s">
        <v>558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PDM - AMV - JACARÉ</v>
      </c>
      <c r="AJ432" s="9" t="str">
        <f>IF(BS_CONTROLE[[#This Row],[Atividade]]=0, "-", BS_CONTROLE[[#This Row],[Atividade]])</f>
        <v>PDM - AMV - JACARÉ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ZPG-ZZV</v>
      </c>
      <c r="AN432" s="105" t="str">
        <f>IF(BS_CONTROLE[[#This Row],[SB]]=0, "-", BS_CONTROLE[[#This Row],[SB]])</f>
        <v>ZPGZZV</v>
      </c>
      <c r="AO432" s="105">
        <f>IF(BS_CONTROLE[[#This Row],[SUB]]=0, "-", BS_CONTROLE[[#This Row],[SUB]])</f>
        <v>53</v>
      </c>
      <c r="AP432" s="105">
        <f>BS_CONTROLE[[#This Row],[KM - Inicio]]</f>
        <v>122.7</v>
      </c>
      <c r="AQ432" s="105">
        <f>BS_CONTROLE[[#This Row],[KM - Inicio]]</f>
        <v>122.7</v>
      </c>
      <c r="AR432" s="108"/>
      <c r="AS432" s="108"/>
      <c r="AT432" s="108"/>
      <c r="AU432" s="136"/>
      <c r="AV432" s="136"/>
      <c r="AW432" s="14"/>
      <c r="AX432" s="14"/>
      <c r="AY432" s="164">
        <f>IF(D432="","*",IFERROR(IF(ISODD(COUNT(AS432:AX432)),"ERRO",SUM((AT432-AS432),(AV432-AU432),(AX432-AW432))),"ERRO"))</f>
        <v>0</v>
      </c>
      <c r="AZ432" s="153"/>
      <c r="BA432" s="109"/>
      <c r="BB432" s="10" t="str">
        <f>IFERROR(_xlfn.XLOOKUP(AI432, BS_ATIVIDADE[ATIVIDADE],BS_ATIVIDADE[UNIDADE] ), "*")</f>
        <v>Nº DE PEÇAS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Produção e Intervalo</v>
      </c>
      <c r="BR432" s="19">
        <f>IF(OR(B432="",F432=""),"*",AY432/P432)</f>
        <v>0</v>
      </c>
      <c r="BS432" s="19">
        <f>IF(OR(B432="",F432=""),"*",BA432/Q432)</f>
        <v>0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1555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1556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1556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8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70" operator="equal">
      <formula>"NÃO"</formula>
    </cfRule>
    <cfRule type="cellIs" dxfId="220" priority="11871" operator="equal">
      <formula>"SIM"</formula>
    </cfRule>
  </conditionalFormatting>
  <conditionalFormatting sqref="AZ6:AZ1001">
    <cfRule type="expression" dxfId="219" priority="54326">
      <formula>#REF!=1</formula>
    </cfRule>
  </conditionalFormatting>
  <conditionalFormatting sqref="BE6:BE1001 AY6:AY1001 U6:U1001">
    <cfRule type="cellIs" dxfId="218" priority="54310" operator="equal">
      <formula>"ERRO"</formula>
    </cfRule>
  </conditionalFormatting>
  <conditionalFormatting sqref="BQ6:BQ1001">
    <cfRule type="cellIs" dxfId="217" priority="54305" operator="equal">
      <formula>"Produção e Intervalo"</formula>
    </cfRule>
    <cfRule type="cellIs" dxfId="216" priority="54306" operator="equal">
      <formula>"Aderente"</formula>
    </cfRule>
    <cfRule type="cellIs" dxfId="215" priority="54307" operator="equal">
      <formula>"Intervalo"</formula>
    </cfRule>
    <cfRule type="cellIs" dxfId="214" priority="54308" operator="equal">
      <formula>"Produção"</formula>
    </cfRule>
    <cfRule type="cellIs" dxfId="213" priority="54309" operator="equal">
      <formula>"ERRO"</formula>
    </cfRule>
  </conditionalFormatting>
  <conditionalFormatting sqref="BR6:BS1001">
    <cfRule type="cellIs" dxfId="212" priority="54287" operator="equal">
      <formula>"*"</formula>
    </cfRule>
    <cfRule type="cellIs" dxfId="211" priority="54288" operator="greaterThanOrEqual">
      <formula>1</formula>
    </cfRule>
    <cfRule type="cellIs" dxfId="210" priority="54289" operator="lessThan">
      <formula>1</formula>
    </cfRule>
  </conditionalFormatting>
  <conditionalFormatting sqref="BK949 BK81 BK83:BK84 BK101 BK67 BK69 BK72:BK73 BJ9:BJ366 BJ368:BJ1001">
    <cfRule type="iconSet" priority="6107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61:BK363 BK371 BK368 BK377 BK385 BK397:BK948 BK389:BK392 BK374:BK375">
    <cfRule type="iconSet" priority="6107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413" operator="equal">
      <formula>"OPORTUNIDADE"</formula>
    </cfRule>
  </conditionalFormatting>
  <conditionalFormatting sqref="Y6:Z39">
    <cfRule type="cellIs" dxfId="208" priority="411" operator="equal">
      <formula>"NÃO"</formula>
    </cfRule>
    <cfRule type="cellIs" dxfId="207" priority="412" operator="equal">
      <formula>"SIM"</formula>
    </cfRule>
  </conditionalFormatting>
  <conditionalFormatting sqref="BH6:BH8">
    <cfRule type="iconSet" priority="409">
      <iconSet showValue="0">
        <cfvo type="percent" val="0"/>
        <cfvo type="num" val="1"/>
        <cfvo type="num" val="1" gte="0"/>
      </iconSet>
    </cfRule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81" operator="equal">
      <formula>"OPORTUNIDADE"</formula>
    </cfRule>
  </conditionalFormatting>
  <conditionalFormatting sqref="Y44:Z44">
    <cfRule type="cellIs" dxfId="205" priority="379" operator="equal">
      <formula>"NÃO"</formula>
    </cfRule>
    <cfRule type="cellIs" dxfId="204" priority="380" operator="equal">
      <formula>"SIM"</formula>
    </cfRule>
  </conditionalFormatting>
  <conditionalFormatting sqref="Y48:Z52">
    <cfRule type="cellIs" dxfId="203" priority="378" operator="equal">
      <formula>"OPORTUNIDADE"</formula>
    </cfRule>
  </conditionalFormatting>
  <conditionalFormatting sqref="Y48:Z52">
    <cfRule type="cellIs" dxfId="202" priority="376" operator="equal">
      <formula>"NÃO"</formula>
    </cfRule>
    <cfRule type="cellIs" dxfId="201" priority="377" operator="equal">
      <formula>"SIM"</formula>
    </cfRule>
  </conditionalFormatting>
  <conditionalFormatting sqref="Y68:Z68">
    <cfRule type="cellIs" dxfId="200" priority="372" operator="equal">
      <formula>"OPORTUNIDADE"</formula>
    </cfRule>
  </conditionalFormatting>
  <conditionalFormatting sqref="Y68:Z68">
    <cfRule type="cellIs" dxfId="199" priority="370" operator="equal">
      <formula>"NÃO"</formula>
    </cfRule>
    <cfRule type="cellIs" dxfId="198" priority="371" operator="equal">
      <formula>"SIM"</formula>
    </cfRule>
  </conditionalFormatting>
  <conditionalFormatting sqref="Y75:Z75">
    <cfRule type="cellIs" dxfId="197" priority="369" operator="equal">
      <formula>"OPORTUNIDADE"</formula>
    </cfRule>
  </conditionalFormatting>
  <conditionalFormatting sqref="Y75:Z75">
    <cfRule type="cellIs" dxfId="196" priority="367" operator="equal">
      <formula>"NÃO"</formula>
    </cfRule>
    <cfRule type="cellIs" dxfId="195" priority="368" operator="equal">
      <formula>"SIM"</formula>
    </cfRule>
  </conditionalFormatting>
  <conditionalFormatting sqref="Y77:Z78">
    <cfRule type="cellIs" dxfId="194" priority="366" operator="equal">
      <formula>"OPORTUNIDADE"</formula>
    </cfRule>
  </conditionalFormatting>
  <conditionalFormatting sqref="Y77:Z78">
    <cfRule type="cellIs" dxfId="193" priority="364" operator="equal">
      <formula>"NÃO"</formula>
    </cfRule>
    <cfRule type="cellIs" dxfId="192" priority="365" operator="equal">
      <formula>"SIM"</formula>
    </cfRule>
  </conditionalFormatting>
  <conditionalFormatting sqref="Y81:Z81">
    <cfRule type="cellIs" dxfId="191" priority="363" operator="equal">
      <formula>"OPORTUNIDADE"</formula>
    </cfRule>
  </conditionalFormatting>
  <conditionalFormatting sqref="Y81:Z81">
    <cfRule type="cellIs" dxfId="190" priority="361" operator="equal">
      <formula>"NÃO"</formula>
    </cfRule>
    <cfRule type="cellIs" dxfId="189" priority="362" operator="equal">
      <formula>"SIM"</formula>
    </cfRule>
  </conditionalFormatting>
  <conditionalFormatting sqref="Y82:Z82">
    <cfRule type="cellIs" dxfId="188" priority="360" operator="equal">
      <formula>"OPORTUNIDADE"</formula>
    </cfRule>
  </conditionalFormatting>
  <conditionalFormatting sqref="Y82:Z82">
    <cfRule type="cellIs" dxfId="187" priority="358" operator="equal">
      <formula>"NÃO"</formula>
    </cfRule>
    <cfRule type="cellIs" dxfId="186" priority="359" operator="equal">
      <formula>"SIM"</formula>
    </cfRule>
  </conditionalFormatting>
  <conditionalFormatting sqref="Y91:Z91">
    <cfRule type="cellIs" dxfId="185" priority="357" operator="equal">
      <formula>"OPORTUNIDADE"</formula>
    </cfRule>
  </conditionalFormatting>
  <conditionalFormatting sqref="Y91:Z91">
    <cfRule type="cellIs" dxfId="184" priority="355" operator="equal">
      <formula>"NÃO"</formula>
    </cfRule>
    <cfRule type="cellIs" dxfId="183" priority="356" operator="equal">
      <formula>"SIM"</formula>
    </cfRule>
  </conditionalFormatting>
  <conditionalFormatting sqref="Y93:Z93">
    <cfRule type="cellIs" dxfId="182" priority="354" operator="equal">
      <formula>"OPORTUNIDADE"</formula>
    </cfRule>
  </conditionalFormatting>
  <conditionalFormatting sqref="Y93:Z93">
    <cfRule type="cellIs" dxfId="181" priority="352" operator="equal">
      <formula>"NÃO"</formula>
    </cfRule>
    <cfRule type="cellIs" dxfId="180" priority="353" operator="equal">
      <formula>"SIM"</formula>
    </cfRule>
  </conditionalFormatting>
  <conditionalFormatting sqref="Y95:Z95">
    <cfRule type="cellIs" dxfId="179" priority="351" operator="equal">
      <formula>"OPORTUNIDADE"</formula>
    </cfRule>
  </conditionalFormatting>
  <conditionalFormatting sqref="Y95:Z95">
    <cfRule type="cellIs" dxfId="178" priority="349" operator="equal">
      <formula>"NÃO"</formula>
    </cfRule>
    <cfRule type="cellIs" dxfId="177" priority="350" operator="equal">
      <formula>"SIM"</formula>
    </cfRule>
  </conditionalFormatting>
  <conditionalFormatting sqref="Y96:Z97">
    <cfRule type="cellIs" dxfId="176" priority="348" operator="equal">
      <formula>"OPORTUNIDADE"</formula>
    </cfRule>
  </conditionalFormatting>
  <conditionalFormatting sqref="Y96:Z97">
    <cfRule type="cellIs" dxfId="175" priority="346" operator="equal">
      <formula>"NÃO"</formula>
    </cfRule>
    <cfRule type="cellIs" dxfId="174" priority="347" operator="equal">
      <formula>"SIM"</formula>
    </cfRule>
  </conditionalFormatting>
  <conditionalFormatting sqref="BK95:BK9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77">
      <iconSet showValue="0">
        <cfvo type="percent" val="0"/>
        <cfvo type="num" val="1"/>
        <cfvo type="num" val="1" gte="0"/>
      </iconSet>
    </cfRule>
    <cfRule type="iconSet" priority="6117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8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59 BP339 BP331 BP352 BP341:BP344 BP346:BP348 BP390:BP392 BP374:BP375 BP371 BP368 BP377:BP385 BP397:BP1001 BP361:BP363">
    <cfRule type="iconSet" priority="6118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91" operator="equal">
      <formula>"OPORTUNIDADE"</formula>
    </cfRule>
  </conditionalFormatting>
  <conditionalFormatting sqref="Z173">
    <cfRule type="cellIs" dxfId="172" priority="289" operator="equal">
      <formula>"NÃO"</formula>
    </cfRule>
    <cfRule type="cellIs" dxfId="171" priority="290" operator="equal">
      <formula>"SIM"</formula>
    </cfRule>
  </conditionalFormatting>
  <conditionalFormatting sqref="BP13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48" operator="equal">
      <formula>"OPORTUNIDADE"</formula>
    </cfRule>
  </conditionalFormatting>
  <conditionalFormatting sqref="Z201">
    <cfRule type="cellIs" dxfId="169" priority="246" operator="equal">
      <formula>"NÃO"</formula>
    </cfRule>
    <cfRule type="cellIs" dxfId="168" priority="247" operator="equal">
      <formula>"SIM"</formula>
    </cfRule>
  </conditionalFormatting>
  <conditionalFormatting sqref="Z202">
    <cfRule type="cellIs" dxfId="167" priority="245" operator="equal">
      <formula>"OPORTUNIDADE"</formula>
    </cfRule>
  </conditionalFormatting>
  <conditionalFormatting sqref="Z202">
    <cfRule type="cellIs" dxfId="166" priority="243" operator="equal">
      <formula>"NÃO"</formula>
    </cfRule>
    <cfRule type="cellIs" dxfId="165" priority="244" operator="equal">
      <formula>"SIM"</formula>
    </cfRule>
  </conditionalFormatting>
  <conditionalFormatting sqref="BP14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37" operator="equal">
      <formula>"OPORTUNIDADE"</formula>
    </cfRule>
  </conditionalFormatting>
  <conditionalFormatting sqref="Y201">
    <cfRule type="cellIs" dxfId="163" priority="235" operator="equal">
      <formula>"NÃO"</formula>
    </cfRule>
    <cfRule type="cellIs" dxfId="162" priority="236" operator="equal">
      <formula>"SIM"</formula>
    </cfRule>
  </conditionalFormatting>
  <conditionalFormatting sqref="BK19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215" operator="equal">
      <formula>"OPORTUNIDADE"</formula>
    </cfRule>
  </conditionalFormatting>
  <conditionalFormatting sqref="Z245">
    <cfRule type="cellIs" dxfId="160" priority="213" operator="equal">
      <formula>"NÃO"</formula>
    </cfRule>
    <cfRule type="cellIs" dxfId="159" priority="214" operator="equal">
      <formula>"SIM"</formula>
    </cfRule>
  </conditionalFormatting>
  <conditionalFormatting sqref="BP18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89" operator="equal">
      <formula>"OPORTUNIDADE"</formula>
    </cfRule>
  </conditionalFormatting>
  <conditionalFormatting sqref="Z285">
    <cfRule type="cellIs" dxfId="157" priority="187" operator="equal">
      <formula>"NÃO"</formula>
    </cfRule>
    <cfRule type="cellIs" dxfId="156" priority="188" operator="equal">
      <formula>"SIM"</formula>
    </cfRule>
  </conditionalFormatting>
  <conditionalFormatting sqref="Z286">
    <cfRule type="cellIs" dxfId="155" priority="186" operator="equal">
      <formula>"OPORTUNIDADE"</formula>
    </cfRule>
  </conditionalFormatting>
  <conditionalFormatting sqref="Z286">
    <cfRule type="cellIs" dxfId="154" priority="184" operator="equal">
      <formula>"NÃO"</formula>
    </cfRule>
    <cfRule type="cellIs" dxfId="153" priority="185" operator="equal">
      <formula>"SIM"</formula>
    </cfRule>
  </conditionalFormatting>
  <conditionalFormatting sqref="BK25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7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78:BK3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8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8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1557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1558</v>
      </c>
      <c r="C4" s="160" t="s">
        <v>1559</v>
      </c>
      <c r="D4" s="160" t="s">
        <v>1560</v>
      </c>
      <c r="E4" s="160" t="s">
        <v>1561</v>
      </c>
      <c r="F4" s="160" t="s">
        <v>4</v>
      </c>
      <c r="G4" s="160" t="s">
        <v>1562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1563</v>
      </c>
      <c r="C6" s="161">
        <v>407867</v>
      </c>
      <c r="D6" s="161" t="s">
        <v>1564</v>
      </c>
      <c r="E6" s="161" t="s">
        <v>789</v>
      </c>
      <c r="F6" s="161" t="s">
        <v>1565</v>
      </c>
      <c r="G6" s="162"/>
    </row>
    <row r="7" spans="2:7">
      <c r="B7" s="161" t="s">
        <v>1566</v>
      </c>
      <c r="C7" s="161">
        <v>293644</v>
      </c>
      <c r="D7" s="161" t="s">
        <v>1567</v>
      </c>
      <c r="E7" s="161" t="s">
        <v>789</v>
      </c>
      <c r="F7" s="161" t="s">
        <v>1565</v>
      </c>
      <c r="G7" s="162"/>
    </row>
    <row r="8" spans="2:7">
      <c r="B8" s="161" t="s">
        <v>1568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1569</v>
      </c>
      <c r="C9" s="161">
        <v>256790</v>
      </c>
      <c r="D9" s="161" t="s">
        <v>1570</v>
      </c>
      <c r="E9" s="161" t="s">
        <v>790</v>
      </c>
      <c r="F9" s="161" t="s">
        <v>1571</v>
      </c>
      <c r="G9" s="162">
        <v>46357</v>
      </c>
    </row>
    <row r="10" spans="2:7">
      <c r="B10" s="161" t="s">
        <v>1572</v>
      </c>
      <c r="C10" s="161">
        <v>265193</v>
      </c>
      <c r="D10" s="161" t="s">
        <v>1573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1574</v>
      </c>
      <c r="C11" s="161">
        <v>293716</v>
      </c>
      <c r="D11" s="161" t="s">
        <v>1575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1576</v>
      </c>
      <c r="C12" s="161">
        <v>257258</v>
      </c>
      <c r="D12" s="161" t="s">
        <v>1577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1578</v>
      </c>
      <c r="C13" s="161">
        <v>371147</v>
      </c>
      <c r="D13" s="161" t="s">
        <v>1579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1580</v>
      </c>
      <c r="C14" s="161">
        <v>259230</v>
      </c>
      <c r="D14" s="161" t="s">
        <v>1581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1582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1583</v>
      </c>
      <c r="C16" s="161">
        <v>258542</v>
      </c>
      <c r="D16" s="161" t="s">
        <v>1584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1585</v>
      </c>
      <c r="C17" s="161">
        <v>257050</v>
      </c>
      <c r="D17" s="161" t="s">
        <v>1586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1587</v>
      </c>
      <c r="C2" s="121" t="s">
        <v>946</v>
      </c>
      <c r="D2" s="76" t="s">
        <v>948</v>
      </c>
      <c r="E2" s="76" t="s">
        <v>1588</v>
      </c>
      <c r="F2" s="99" t="s">
        <v>1589</v>
      </c>
      <c r="G2" s="76" t="s">
        <v>1590</v>
      </c>
      <c r="H2" s="76" t="s">
        <v>1591</v>
      </c>
      <c r="I2" s="76" t="s">
        <v>1592</v>
      </c>
      <c r="J2" s="76" t="s">
        <v>1593</v>
      </c>
      <c r="K2" s="78" t="s">
        <v>1594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>
        <f>IF(SP_SUL!B399="","*",SP_SUL!B399)</f>
        <v>46094</v>
      </c>
      <c r="D395" s="94" t="str">
        <f>IF(SP_SUL!D399="","*",SP_SUL!D399)</f>
        <v>KLECIO (TP-699)</v>
      </c>
      <c r="E395" s="94" t="str">
        <f>IF(SP_SUL!H399="","*",SP_SUL!H399)</f>
        <v>-</v>
      </c>
      <c r="F395" s="100" t="str">
        <f>IF(SP_SUL!M399="","*",SP_SUL!M399)</f>
        <v>ZTT</v>
      </c>
      <c r="G395" s="95" t="str">
        <f>IF(SP_SUL!I399="","*",SP_SUL!I399)</f>
        <v>-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>
        <f>IF(SP_SUL!B400="","*",SP_SUL!B400)</f>
        <v>46094</v>
      </c>
      <c r="D396" s="94" t="str">
        <f>IF(SP_SUL!D400="","*",SP_SUL!D400)</f>
        <v>V92</v>
      </c>
      <c r="E396" s="94" t="str">
        <f>IF(SP_SUL!H400="","*",SP_SUL!H400)</f>
        <v>ZAC-2</v>
      </c>
      <c r="F396" s="100" t="str">
        <f>IF(SP_SUL!M400="","*",SP_SUL!M400)</f>
        <v>ZAC-ZSW</v>
      </c>
      <c r="G396" s="95" t="str">
        <f>IF(SP_SUL!I400="","*",SP_SUL!I400)</f>
        <v>ZAC-2</v>
      </c>
      <c r="H396" s="95" t="str">
        <f>IF(SP_SUL!AB400="","*",SP_SUL!AB400)</f>
        <v>FIXO</v>
      </c>
      <c r="I396" s="95" t="str">
        <f>IF(SP_SUL!AC400="","*",SP_SUL!AC400)</f>
        <v>ACIONAMENTO</v>
      </c>
      <c r="J396" s="96" t="str">
        <f>IF(SP_SUL!AA400="","*",SP_SUL!AA400)</f>
        <v>1 Lucas</v>
      </c>
      <c r="K396" s="97">
        <f>IF(SP_SUL!AD400="","*",SP_SUL!AD400)</f>
        <v>0.35416666666666669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 xml:space="preserve">TURMA FIXA VIA </v>
      </c>
      <c r="E397" s="94" t="str">
        <f>IF(SP_SUL!H401="","*",SP_SUL!H401)</f>
        <v>-</v>
      </c>
      <c r="F397" s="100" t="str">
        <f>IF(SP_SUL!M401="","*",SP_SUL!M401)</f>
        <v>ZBM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>
        <f>IF(SP_SUL!B403="","*",SP_SUL!B403)</f>
        <v>46094</v>
      </c>
      <c r="D399" s="94" t="str">
        <f>IF(SP_SUL!D403="","*",SP_SUL!D403)</f>
        <v>W59</v>
      </c>
      <c r="E399" s="94" t="str">
        <f>IF(SP_SUL!H403="","*",SP_SUL!H403)</f>
        <v>ZYU-1</v>
      </c>
      <c r="F399" s="100" t="str">
        <f>IF(SP_SUL!M403="","*",SP_SUL!M403)</f>
        <v>ZQB-ZBV</v>
      </c>
      <c r="G399" s="95" t="str">
        <f>IF(SP_SUL!I403="","*",SP_SUL!I403)</f>
        <v>ZYU-1</v>
      </c>
      <c r="H399" s="95" t="str">
        <f>IF(SP_SUL!AB403="","*",SP_SUL!AB403)</f>
        <v>FIXO</v>
      </c>
      <c r="I399" s="95" t="str">
        <f>IF(SP_SUL!AC403="","*",SP_SUL!AC403)</f>
        <v>ACIONAMENTO</v>
      </c>
      <c r="J399" s="96" t="str">
        <f>IF(SP_SUL!AA403="","*",SP_SUL!AA403)</f>
        <v>2 (Palazi + auxiliar)</v>
      </c>
      <c r="K399" s="97">
        <f>IF(SP_SUL!AD403="","*",SP_SUL!AD403)</f>
        <v>0.29166666666666669</v>
      </c>
    </row>
    <row r="400" spans="2:11" hidden="1">
      <c r="B400" s="94" t="str">
        <f>IF(SP_SUL!Y404="","*",SP_SUL!Y404)</f>
        <v>*</v>
      </c>
      <c r="C400" s="95">
        <f>IF(SP_SUL!B404="","*",SP_SUL!B404)</f>
        <v>46094</v>
      </c>
      <c r="D400" s="94" t="str">
        <f>IF(SP_SUL!D404="","*",SP_SUL!D404)</f>
        <v>JOSÉ (TP-879)</v>
      </c>
      <c r="E400" s="94" t="str">
        <f>IF(SP_SUL!H404="","*",SP_SUL!H404)</f>
        <v>-</v>
      </c>
      <c r="F400" s="100" t="str">
        <f>IF(SP_SUL!M404="","*",SP_SUL!M404)</f>
        <v>ZQB-ZBV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>
        <f>IF(SP_SUL!B405="","*",SP_SUL!B405)</f>
        <v>46094</v>
      </c>
      <c r="D401" s="94" t="str">
        <f>IF(SP_SUL!D405="","*",SP_SUL!D405)</f>
        <v>EDSON/NIVALDO (TP-819)</v>
      </c>
      <c r="E401" s="94" t="str">
        <f>IF(SP_SUL!H405="","*",SP_SUL!H405)</f>
        <v>-</v>
      </c>
      <c r="F401" s="100" t="str">
        <f>IF(SP_SUL!M405="","*",SP_SUL!M405)</f>
        <v>ZXI-ZVK</v>
      </c>
      <c r="G401" s="95" t="str">
        <f>IF(SP_SUL!I405="","*",SP_SUL!I405)</f>
        <v>-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-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>
        <f>IF(SP_SUL!B406="","*",SP_SUL!B406)</f>
        <v>46094</v>
      </c>
      <c r="D402" s="94" t="str">
        <f>IF(SP_SUL!D406="","*",SP_SUL!D406)</f>
        <v>ROGÉRIO (TP-730)</v>
      </c>
      <c r="E402" s="94" t="str">
        <f>IF(SP_SUL!H406="","*",SP_SUL!H406)</f>
        <v>ZYU1</v>
      </c>
      <c r="F402" s="100" t="str">
        <f>IF(SP_SUL!M406="","*",SP_SUL!M406)</f>
        <v>ZYU</v>
      </c>
      <c r="G402" s="95" t="str">
        <f>IF(SP_SUL!I406="","*",SP_SUL!I406)</f>
        <v>-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-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>
        <f>IF(SP_SUL!B407="","*",SP_SUL!B407)</f>
        <v>46094</v>
      </c>
      <c r="D403" s="94" t="str">
        <f>IF(SP_SUL!D407="","*",SP_SUL!D407)</f>
        <v>V93</v>
      </c>
      <c r="E403" s="94" t="str">
        <f>IF(SP_SUL!H407="","*",SP_SUL!H407)</f>
        <v>ZXP-2</v>
      </c>
      <c r="F403" s="100" t="str">
        <f>IF(SP_SUL!M407="","*",SP_SUL!M407)</f>
        <v>ZXP-ZFY</v>
      </c>
      <c r="G403" s="95" t="str">
        <f>IF(SP_SUL!I407="","*",SP_SUL!I407)</f>
        <v>ZXP-2</v>
      </c>
      <c r="H403" s="95" t="str">
        <f>IF(SP_SUL!AB407="","*",SP_SUL!AB407)</f>
        <v>ESCALA</v>
      </c>
      <c r="I403" s="95" t="str">
        <f>IF(SP_SUL!AC407="","*",SP_SUL!AC407)</f>
        <v>AGD ACIONAMENTO PCM</v>
      </c>
      <c r="J403" s="96">
        <f>IF(SP_SUL!AA407="","*",SP_SUL!AA407)</f>
        <v>1</v>
      </c>
      <c r="K403" s="97">
        <f>IF(SP_SUL!AD407="","*",SP_SUL!AD407)</f>
        <v>0.33333333333333331</v>
      </c>
    </row>
    <row r="404" spans="2:11" hidden="1">
      <c r="B404" s="94" t="str">
        <f>IF(SP_SUL!Y408="","*",SP_SUL!Y408)</f>
        <v>*</v>
      </c>
      <c r="C404" s="95">
        <f>IF(SP_SUL!B408="","*",SP_SUL!B408)</f>
        <v>46094</v>
      </c>
      <c r="D404" s="94" t="str">
        <f>IF(SP_SUL!D408="","*",SP_SUL!D408)</f>
        <v>ROBSON (TF-701)</v>
      </c>
      <c r="E404" s="94" t="str">
        <f>IF(SP_SUL!H408="","*",SP_SUL!H408)</f>
        <v>ZXP189</v>
      </c>
      <c r="F404" s="100" t="str">
        <f>IF(SP_SUL!M408="","*",SP_SUL!M408)</f>
        <v>ZXP-ZFY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-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>
        <f>IF(SP_SUL!B409="","*",SP_SUL!B409)</f>
        <v>46094</v>
      </c>
      <c r="D405" s="94" t="str">
        <f>IF(SP_SUL!D409="","*",SP_SUL!D409)</f>
        <v>CARLOS (TP-722)</v>
      </c>
      <c r="E405" s="94" t="str">
        <f>IF(SP_SUL!H409="","*",SP_SUL!H409)</f>
        <v>-</v>
      </c>
      <c r="F405" s="100" t="str">
        <f>IF(SP_SUL!M409="","*",SP_SUL!M409)</f>
        <v>ZPS-ZCX</v>
      </c>
      <c r="G405" s="95" t="str">
        <f>IF(SP_SUL!I409="","*",SP_SUL!I409)</f>
        <v>-</v>
      </c>
      <c r="H405" s="95" t="str">
        <f>IF(SP_SUL!AB409="","*",SP_SUL!AB409)</f>
        <v>FIXO</v>
      </c>
      <c r="I405" s="95" t="str">
        <f>IF(SP_SUL!AC409="","*",SP_SUL!AC409)</f>
        <v>ACIONAMENTO</v>
      </c>
      <c r="J405" s="96">
        <f>IF(SP_SUL!AA409="","*",SP_SUL!AA409)</f>
        <v>1</v>
      </c>
      <c r="K405" s="97">
        <f>IF(SP_SUL!AD409="","*",SP_SUL!AD409)</f>
        <v>0.3125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>
        <f>IF(SP_SUL!B411="","*",SP_SUL!B411)</f>
        <v>46094</v>
      </c>
      <c r="D407" s="94" t="str">
        <f>IF(SP_SUL!D411="","*",SP_SUL!D411)</f>
        <v>E17</v>
      </c>
      <c r="E407" s="94" t="str">
        <f>IF(SP_SUL!H411="","*",SP_SUL!H411)</f>
        <v>102ZKW-2</v>
      </c>
      <c r="F407" s="100" t="str">
        <f>IF(SP_SUL!M411="","*",SP_SUL!M411)</f>
        <v>ZLU</v>
      </c>
      <c r="G407" s="95" t="str">
        <f>IF(SP_SUL!I411="","*",SP_SUL!I411)</f>
        <v>102ZKW-2</v>
      </c>
      <c r="H407" s="95" t="str">
        <f>IF(SP_SUL!AB411="","*",SP_SUL!AB411)</f>
        <v>FIXO</v>
      </c>
      <c r="I407" s="95" t="str">
        <f>IF(SP_SUL!AC411="","*",SP_SUL!AC411)</f>
        <v>ACIONAMENTO</v>
      </c>
      <c r="J407" s="96">
        <f>IF(SP_SUL!AA411="","*",SP_SUL!AA411)</f>
        <v>1</v>
      </c>
      <c r="K407" s="97">
        <f>IF(SP_SUL!AD411="","*",SP_SUL!AD411)</f>
        <v>0.35416666666666669</v>
      </c>
    </row>
    <row r="408" spans="2:11" hidden="1">
      <c r="B408" s="94" t="str">
        <f>IF(SP_SUL!Y412="","*",SP_SUL!Y412)</f>
        <v>*</v>
      </c>
      <c r="C408" s="95">
        <f>IF(SP_SUL!B412="","*",SP_SUL!B412)</f>
        <v>46094</v>
      </c>
      <c r="D408" s="94" t="str">
        <f>IF(SP_SUL!D412="","*",SP_SUL!D412)</f>
        <v>EDSON (TP-719)</v>
      </c>
      <c r="E408" s="94" t="str">
        <f>IF(SP_SUL!H412="","*",SP_SUL!H412)</f>
        <v>-</v>
      </c>
      <c r="F408" s="100" t="str">
        <f>IF(SP_SUL!M412="","*",SP_SUL!M412)</f>
        <v>ZYQ-ZEM</v>
      </c>
      <c r="G408" s="95" t="str">
        <f>IF(SP_SUL!I412="","*",SP_SUL!I412)</f>
        <v>-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-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>
        <f>IF(SP_SUL!B413="","*",SP_SUL!B413)</f>
        <v>46094</v>
      </c>
      <c r="D409" s="94" t="str">
        <f>IF(SP_SUL!D413="","*",SP_SUL!D413)</f>
        <v>EDSON (TP-719)</v>
      </c>
      <c r="E409" s="94" t="str">
        <f>IF(SP_SUL!H413="","*",SP_SUL!H413)</f>
        <v>-</v>
      </c>
      <c r="F409" s="100" t="str">
        <f>IF(SP_SUL!M413="","*",SP_SUL!M413)</f>
        <v>ZYQ-ZEM</v>
      </c>
      <c r="G409" s="95" t="str">
        <f>IF(SP_SUL!I413="","*",SP_SUL!I413)</f>
        <v>-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-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>
        <f>IF(SP_SUL!B414="","*",SP_SUL!B414)</f>
        <v>46094</v>
      </c>
      <c r="D410" s="94" t="str">
        <f>IF(SP_SUL!D414="","*",SP_SUL!D414)</f>
        <v>V89</v>
      </c>
      <c r="E410" s="94" t="str">
        <f>IF(SP_SUL!H414="","*",SP_SUL!H414)</f>
        <v>ZEM130-1</v>
      </c>
      <c r="F410" s="100" t="str">
        <f>IF(SP_SUL!M414="","*",SP_SUL!M414)</f>
        <v>ZYQ-ZEM</v>
      </c>
      <c r="G410" s="95" t="str">
        <f>IF(SP_SUL!I414="","*",SP_SUL!I414)</f>
        <v>ZEM130-2</v>
      </c>
      <c r="H410" s="95" t="str">
        <f>IF(SP_SUL!AB414="","*",SP_SUL!AB414)</f>
        <v>FIXO</v>
      </c>
      <c r="I410" s="95" t="str">
        <f>IF(SP_SUL!AC414="","*",SP_SUL!AC414)</f>
        <v>ACIONAMENTO</v>
      </c>
      <c r="J410" s="96">
        <f>IF(SP_SUL!AA414="","*",SP_SUL!AA414)</f>
        <v>1</v>
      </c>
      <c r="K410" s="97">
        <f>IF(SP_SUL!AD414="","*",SP_SUL!AD414)</f>
        <v>0.35416666666666669</v>
      </c>
    </row>
    <row r="411" spans="2:11" hidden="1">
      <c r="B411" s="94" t="str">
        <f>IF(SP_SUL!Y415="","*",SP_SUL!Y415)</f>
        <v>*</v>
      </c>
      <c r="C411" s="95">
        <f>IF(SP_SUL!B415="","*",SP_SUL!B415)</f>
        <v>46094</v>
      </c>
      <c r="D411" s="94" t="str">
        <f>IF(SP_SUL!D415="","*",SP_SUL!D415)</f>
        <v>CLEBISON (TP-728)</v>
      </c>
      <c r="E411" s="94" t="str">
        <f>IF(SP_SUL!H415="","*",SP_SUL!H415)</f>
        <v>-</v>
      </c>
      <c r="F411" s="100" t="str">
        <f>IF(SP_SUL!M415="","*",SP_SUL!M415)</f>
        <v>ZYQ-ZEM</v>
      </c>
      <c r="G411" s="95" t="str">
        <f>IF(SP_SUL!I415="","*",SP_SUL!I415)</f>
        <v>-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-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>
        <f>IF(SP_SUL!B416="","*",SP_SUL!B416)</f>
        <v>46094</v>
      </c>
      <c r="D412" s="94" t="str">
        <f>IF(SP_SUL!D416="","*",SP_SUL!D416)</f>
        <v>ISMAEL(TP-726)</v>
      </c>
      <c r="E412" s="94" t="str">
        <f>IF(SP_SUL!H416="","*",SP_SUL!H416)</f>
        <v>-</v>
      </c>
      <c r="F412" s="100" t="str">
        <f>IF(SP_SUL!M416="","*",SP_SUL!M416)</f>
        <v>ZYQ-ZEM</v>
      </c>
      <c r="G412" s="95" t="str">
        <f>IF(SP_SUL!I416="","*",SP_SUL!I416)</f>
        <v>-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-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>
        <f>IF(SP_SUL!B418="","*",SP_SUL!B418)</f>
        <v>46094</v>
      </c>
      <c r="D414" s="94" t="str">
        <f>IF(SP_SUL!D418="","*",SP_SUL!D418)</f>
        <v>CAIQUE (TMA-677)</v>
      </c>
      <c r="E414" s="94" t="str">
        <f>IF(SP_SUL!H418="","*",SP_SUL!H418)</f>
        <v>-</v>
      </c>
      <c r="F414" s="100" t="str">
        <f>IF(SP_SUL!M418="","*",SP_SUL!M418)</f>
        <v>ZEJ-ZEV</v>
      </c>
      <c r="G414" s="95" t="str">
        <f>IF(SP_SUL!I418="","*",SP_SUL!I418)</f>
        <v>-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-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>
        <f>IF(SP_SUL!B419="","*",SP_SUL!B419)</f>
        <v>46094</v>
      </c>
      <c r="D415" s="94" t="str">
        <f>IF(SP_SUL!D419="","*",SP_SUL!D419)</f>
        <v>WALTER (TP-810)</v>
      </c>
      <c r="E415" s="94" t="str">
        <f>IF(SP_SUL!H419="","*",SP_SUL!H419)</f>
        <v>-</v>
      </c>
      <c r="F415" s="100" t="str">
        <f>IF(SP_SUL!M419="","*",SP_SUL!M419)</f>
        <v>ZEJ-ZEV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>
        <f>IF(SP_SUL!B420="","*",SP_SUL!B420)</f>
        <v>46094</v>
      </c>
      <c r="D416" s="94" t="str">
        <f>IF(SP_SUL!D420="","*",SP_SUL!D420)</f>
        <v>W97</v>
      </c>
      <c r="E416" s="94" t="str">
        <f>IF(SP_SUL!H420="","*",SP_SUL!H420)</f>
        <v>Z3V3</v>
      </c>
      <c r="F416" s="100" t="str">
        <f>IF(SP_SUL!M420="","*",SP_SUL!M420)</f>
        <v>ZEV</v>
      </c>
      <c r="G416" s="95" t="str">
        <f>IF(SP_SUL!I420="","*",SP_SUL!I420)</f>
        <v>Z3V3</v>
      </c>
      <c r="H416" s="95" t="str">
        <f>IF(SP_SUL!AB420="","*",SP_SUL!AB420)</f>
        <v>FIXO</v>
      </c>
      <c r="I416" s="95" t="str">
        <f>IF(SP_SUL!AC420="","*",SP_SUL!AC420)</f>
        <v>ACIONAMENTO</v>
      </c>
      <c r="J416" s="96">
        <f>IF(SP_SUL!AA420="","*",SP_SUL!AA420)</f>
        <v>1</v>
      </c>
      <c r="K416" s="97">
        <f>IF(SP_SUL!AD420="","*",SP_SUL!AD420)</f>
        <v>0.3125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>
        <f>IF(SP_SUL!B422="","*",SP_SUL!B422)</f>
        <v>46094</v>
      </c>
      <c r="D418" s="94" t="str">
        <f>IF(SP_SUL!D422="","*",SP_SUL!D422)</f>
        <v>MOD ZEZ</v>
      </c>
      <c r="E418" s="94" t="str">
        <f>IF(SP_SUL!H422="","*",SP_SUL!H422)</f>
        <v>-</v>
      </c>
      <c r="F418" s="100" t="str">
        <f>IF(SP_SUL!M422="","*",SP_SUL!M422)</f>
        <v>ZEZ-069</v>
      </c>
      <c r="G418" s="95" t="str">
        <f>IF(SP_SUL!I422="","*",SP_SUL!I422)</f>
        <v>-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-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>
        <f>IF(SP_SUL!B423="","*",SP_SUL!B423)</f>
        <v>46094</v>
      </c>
      <c r="D419" s="94" t="str">
        <f>IF(SP_SUL!D423="","*",SP_SUL!D423)</f>
        <v>W61</v>
      </c>
      <c r="E419" s="94" t="str">
        <f>IF(SP_SUL!H423="","*",SP_SUL!H423)</f>
        <v>K67ZEV2</v>
      </c>
      <c r="F419" s="100" t="str">
        <f>IF(SP_SUL!M423="","*",SP_SUL!M423)</f>
        <v>ZXW-ZEZ</v>
      </c>
      <c r="G419" s="95" t="str">
        <f>IF(SP_SUL!I423="","*",SP_SUL!I423)</f>
        <v>K67ZEV2</v>
      </c>
      <c r="H419" s="95" t="str">
        <f>IF(SP_SUL!AB423="","*",SP_SUL!AB423)</f>
        <v>FIXO</v>
      </c>
      <c r="I419" s="95" t="str">
        <f>IF(SP_SUL!AC423="","*",SP_SUL!AC423)</f>
        <v>ACIONAMENTO</v>
      </c>
      <c r="J419" s="96">
        <f>IF(SP_SUL!AA423="","*",SP_SUL!AA423)</f>
        <v>1</v>
      </c>
      <c r="K419" s="97">
        <f>IF(SP_SUL!AD423="","*",SP_SUL!AD423)</f>
        <v>0.3125</v>
      </c>
    </row>
    <row r="420" spans="2:11" hidden="1">
      <c r="B420" s="94" t="str">
        <f>IF(SP_SUL!Y424="","*",SP_SUL!Y424)</f>
        <v>*</v>
      </c>
      <c r="C420" s="95">
        <f>IF(SP_SUL!B424="","*",SP_SUL!B424)</f>
        <v>46094</v>
      </c>
      <c r="D420" s="94" t="str">
        <f>IF(SP_SUL!D424="","*",SP_SUL!D424)</f>
        <v>MODERNIZAÇÃO TURMA 2</v>
      </c>
      <c r="E420" s="94" t="str">
        <f>IF(SP_SUL!H424="","*",SP_SUL!H424)</f>
        <v>-</v>
      </c>
      <c r="F420" s="100" t="str">
        <f>IF(SP_SUL!M424="","*",SP_SUL!M424)</f>
        <v>ZXW-ZEZ</v>
      </c>
      <c r="G420" s="95" t="str">
        <f>IF(SP_SUL!I424="","*",SP_SUL!I424)</f>
        <v>-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-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>
        <f>IF(SP_SUL!B426="","*",SP_SUL!B426)</f>
        <v>46094</v>
      </c>
      <c r="D422" s="94" t="str">
        <f>IF(SP_SUL!D426="","*",SP_SUL!D426)</f>
        <v>W62</v>
      </c>
      <c r="E422" s="94" t="str">
        <f>IF(SP_SUL!H426="","*",SP_SUL!H426)</f>
        <v>ZPT105-1</v>
      </c>
      <c r="F422" s="100" t="str">
        <f>IF(SP_SUL!M426="","*",SP_SUL!M426)</f>
        <v>ZPT-ZXW</v>
      </c>
      <c r="G422" s="95" t="str">
        <f>IF(SP_SUL!I426="","*",SP_SUL!I426)</f>
        <v>ZDRZPT</v>
      </c>
      <c r="H422" s="95" t="str">
        <f>IF(SP_SUL!AB426="","*",SP_SUL!AB426)</f>
        <v>FIXO</v>
      </c>
      <c r="I422" s="95" t="str">
        <f>IF(SP_SUL!AC426="","*",SP_SUL!AC426)</f>
        <v>ACIONAMENTO</v>
      </c>
      <c r="J422" s="96">
        <f>IF(SP_SUL!AA426="","*",SP_SUL!AA426)</f>
        <v>1</v>
      </c>
      <c r="K422" s="97">
        <f>IF(SP_SUL!AD426="","*",SP_SUL!AD426)</f>
        <v>0.3125</v>
      </c>
    </row>
    <row r="423" spans="2:11" hidden="1">
      <c r="B423" s="94" t="str">
        <f>IF(SP_SUL!Y427="","*",SP_SUL!Y427)</f>
        <v>*</v>
      </c>
      <c r="C423" s="95">
        <f>IF(SP_SUL!B427="","*",SP_SUL!B427)</f>
        <v>46094</v>
      </c>
      <c r="D423" s="94" t="str">
        <f>IF(SP_SUL!D427="","*",SP_SUL!D427)</f>
        <v>MOD ZGP</v>
      </c>
      <c r="E423" s="94" t="str">
        <f>IF(SP_SUL!H427="","*",SP_SUL!H427)</f>
        <v>-</v>
      </c>
      <c r="F423" s="100" t="str">
        <f>IF(SP_SUL!M427="","*",SP_SUL!M427)</f>
        <v>ZGP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>
        <f>IF(SP_SUL!B428="","*",SP_SUL!B428)</f>
        <v>46094</v>
      </c>
      <c r="D424" s="94" t="str">
        <f>IF(SP_SUL!D428="","*",SP_SUL!D428)</f>
        <v>V85</v>
      </c>
      <c r="E424" s="94" t="str">
        <f>IF(SP_SUL!H428="","*",SP_SUL!H428)</f>
        <v>ZDRZPT</v>
      </c>
      <c r="F424" s="100" t="str">
        <f>IF(SP_SUL!M428="","*",SP_SUL!M428)</f>
        <v>ZGP</v>
      </c>
      <c r="G424" s="95" t="str">
        <f>IF(SP_SUL!I428="","*",SP_SUL!I428)</f>
        <v>ZDRZPT</v>
      </c>
      <c r="H424" s="95" t="str">
        <f>IF(SP_SUL!AB428="","*",SP_SUL!AB428)</f>
        <v>FIXO</v>
      </c>
      <c r="I424" s="95" t="str">
        <f>IF(SP_SUL!AC428="","*",SP_SUL!AC428)</f>
        <v>ACIONAMENTO</v>
      </c>
      <c r="J424" s="96">
        <f>IF(SP_SUL!AA428="","*",SP_SUL!AA428)</f>
        <v>1</v>
      </c>
      <c r="K424" s="97">
        <f>IF(SP_SUL!AD428="","*",SP_SUL!AD428)</f>
        <v>0.3125</v>
      </c>
    </row>
    <row r="425" spans="2:11" hidden="1">
      <c r="B425" s="94" t="str">
        <f>IF(SP_SUL!Y429="","*",SP_SUL!Y429)</f>
        <v>*</v>
      </c>
      <c r="C425" s="95">
        <f>IF(SP_SUL!B429="","*",SP_SUL!B429)</f>
        <v>46094</v>
      </c>
      <c r="D425" s="94" t="str">
        <f>IF(SP_SUL!D429="","*",SP_SUL!D429)</f>
        <v>HUELTON (TP-725)</v>
      </c>
      <c r="E425" s="94" t="str">
        <f>IF(SP_SUL!H429="","*",SP_SUL!H429)</f>
        <v>-</v>
      </c>
      <c r="F425" s="100" t="str">
        <f>IF(SP_SUL!M429="","*",SP_SUL!M429)</f>
        <v>ZPT</v>
      </c>
      <c r="G425" s="95" t="str">
        <f>IF(SP_SUL!I429="","*",SP_SUL!I429)</f>
        <v>-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-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>
        <f>IF(SP_SUL!B430="","*",SP_SUL!B430)</f>
        <v>46094</v>
      </c>
      <c r="D426" s="94" t="str">
        <f>IF(SP_SUL!D430="","*",SP_SUL!D430)</f>
        <v>EXPANSÃO TURMA 1</v>
      </c>
      <c r="E426" s="94" t="str">
        <f>IF(SP_SUL!H430="","*",SP_SUL!H430)</f>
        <v>-</v>
      </c>
      <c r="F426" s="100" t="str">
        <f>IF(SP_SUL!M430="","*",SP_SUL!M430)</f>
        <v>ZGM-109</v>
      </c>
      <c r="G426" s="95" t="str">
        <f>IF(SP_SUL!I430="","*",SP_SUL!I430)</f>
        <v>-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>
        <f>IF(SP_SUL!B431="","*",SP_SUL!B431)</f>
        <v>46094</v>
      </c>
      <c r="D427" s="94" t="str">
        <f>IF(SP_SUL!D431="","*",SP_SUL!D431)</f>
        <v>LEANDRO (TP-727)</v>
      </c>
      <c r="E427" s="94" t="str">
        <f>IF(SP_SUL!H431="","*",SP_SUL!H431)</f>
        <v>-</v>
      </c>
      <c r="F427" s="100" t="str">
        <f>IF(SP_SUL!M431="","*",SP_SUL!M431)</f>
        <v>ZGM-109</v>
      </c>
      <c r="G427" s="95" t="str">
        <f>IF(SP_SUL!I431="","*",SP_SUL!I431)</f>
        <v>-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>
        <f>IF(SP_SUL!B432="","*",SP_SUL!B432)</f>
        <v>46094</v>
      </c>
      <c r="D428" s="94" t="str">
        <f>IF(SP_SUL!D432="","*",SP_SUL!D432)</f>
        <v>RAFAEL (TP-695)</v>
      </c>
      <c r="E428" s="94" t="str">
        <f>IF(SP_SUL!H432="","*",SP_SUL!H432)</f>
        <v>-</v>
      </c>
      <c r="F428" s="100" t="str">
        <f>IF(SP_SUL!M432="","*",SP_SUL!M432)</f>
        <v>ZPG-ZZV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G20" sqref="G20"/>
    </sheetView>
  </sheetViews>
  <sheetFormatPr defaultRowHeight="15"/>
  <cols>
    <col min="2" max="2" width="14.7109375" customWidth="1"/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1595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1596</v>
      </c>
      <c r="D4" s="163" t="s">
        <v>1597</v>
      </c>
      <c r="E4" s="163" t="s">
        <v>1598</v>
      </c>
      <c r="F4" s="160" t="s">
        <v>1599</v>
      </c>
      <c r="G4" s="163" t="s">
        <v>1600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1601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1602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1601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1603</v>
      </c>
      <c r="G9" s="167" t="s">
        <v>1604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1601</v>
      </c>
      <c r="G10" s="167"/>
    </row>
    <row r="11" spans="2:7" hidden="1">
      <c r="B11" s="191" t="s">
        <v>1605</v>
      </c>
      <c r="C11" s="191">
        <v>9038</v>
      </c>
      <c r="D11" s="192">
        <v>46085</v>
      </c>
      <c r="E11" s="191">
        <v>10520</v>
      </c>
      <c r="F11" s="193" t="s">
        <v>1606</v>
      </c>
      <c r="G11" s="191"/>
    </row>
    <row r="12" spans="2:7">
      <c r="B12" s="167" t="s">
        <v>1605</v>
      </c>
      <c r="C12" s="167">
        <v>9059</v>
      </c>
      <c r="D12" s="168">
        <v>46091</v>
      </c>
      <c r="E12" s="167">
        <v>15600</v>
      </c>
      <c r="F12" s="169" t="s">
        <v>1601</v>
      </c>
      <c r="G12" s="167" t="s">
        <v>1607</v>
      </c>
    </row>
    <row r="13" spans="2:7">
      <c r="B13" s="167" t="s">
        <v>709</v>
      </c>
      <c r="C13" s="167" t="s">
        <v>1608</v>
      </c>
      <c r="D13" s="168">
        <v>46086</v>
      </c>
      <c r="E13" s="167">
        <v>8.5</v>
      </c>
      <c r="F13" s="169" t="s">
        <v>1609</v>
      </c>
      <c r="G13" s="167"/>
    </row>
    <row r="14" spans="2:7">
      <c r="B14" s="167" t="s">
        <v>709</v>
      </c>
      <c r="C14" s="167" t="s">
        <v>1610</v>
      </c>
      <c r="D14" s="168">
        <v>46086</v>
      </c>
      <c r="E14" s="167">
        <v>10000</v>
      </c>
      <c r="F14" s="169" t="s">
        <v>1609</v>
      </c>
      <c r="G14" s="167"/>
    </row>
    <row r="15" spans="2:7">
      <c r="B15" s="167" t="s">
        <v>709</v>
      </c>
      <c r="C15" s="167" t="s">
        <v>1611</v>
      </c>
      <c r="D15" s="168">
        <v>46086</v>
      </c>
      <c r="E15" s="167">
        <v>8000</v>
      </c>
      <c r="F15" s="169" t="s">
        <v>1609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1612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1613</v>
      </c>
      <c r="D5" s="230"/>
      <c r="E5" s="230"/>
      <c r="F5" s="230"/>
      <c r="G5" s="230"/>
      <c r="H5" s="230"/>
      <c r="I5" s="230"/>
      <c r="J5" s="231"/>
      <c r="K5" s="232" t="s">
        <v>1614</v>
      </c>
      <c r="L5" s="233"/>
      <c r="M5" s="233"/>
      <c r="N5" s="233"/>
      <c r="O5" s="234" t="s">
        <v>1615</v>
      </c>
      <c r="P5" s="235"/>
    </row>
    <row r="6" spans="1:16" s="74" customFormat="1" ht="15" customHeight="1">
      <c r="A6" s="66" t="s">
        <v>1616</v>
      </c>
      <c r="B6" s="75" t="s">
        <v>1617</v>
      </c>
      <c r="C6" s="76" t="s">
        <v>961</v>
      </c>
      <c r="D6" s="77" t="s">
        <v>962</v>
      </c>
      <c r="E6" s="76" t="s">
        <v>1618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1619</v>
      </c>
      <c r="M6" s="80" t="s">
        <v>576</v>
      </c>
      <c r="N6" s="81" t="s">
        <v>956</v>
      </c>
      <c r="O6" s="158" t="s">
        <v>999</v>
      </c>
      <c r="P6" s="133" t="s">
        <v>1620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6.25E-2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>
        <f>IF(SP_SUL!BH361="","*",SP_SUL!BH361)</f>
        <v>2</v>
      </c>
      <c r="P361" s="147" t="str">
        <f>IF($A$2=1,IF(SP_SUL!BJ361="","*",SP_SUL!BJ361),IF(SP_SUL!BK361="","*",SP_SUL!BK361))</f>
        <v>Concedido intervalo das 11h08 até 12h38, intervalo entregue as 13h05, devido local de trabalho com dificuldades de operação + chuva.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>
        <f>IF(SP_SUL!BH364="","*",SP_SUL!BH364)</f>
        <v>0</v>
      </c>
      <c r="P364" s="147" t="str">
        <f>IF($A$2=1,IF(SP_SUL!BJ364="","*",SP_SUL!BJ364),IF(SP_SUL!BK364="","*",SP_SUL!BK364))</f>
        <v>MC1 09h22 /  Sem oportunidade de faixa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>
        <f>IF(SP_SUL!BH365="","*",SP_SUL!BH365)</f>
        <v>2</v>
      </c>
      <c r="P365" s="147" t="str">
        <f>IF($A$2=1,IF(SP_SUL!BJ365="","*",SP_SUL!BJ365),IF(SP_SUL!BK365="","*",SP_SUL!BK365))</f>
        <v>Tp pronto 10h39 / Realizado intervalo das 12h40 até 14h10 / Produção 7 dormentes substituidos e 18 metros de limpeza de lastro. (baixa produção, devido lastro contaminado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>
        <f>IF(SP_SUL!BH366="","*",SP_SUL!BH366)</f>
        <v>0</v>
      </c>
      <c r="P366" s="147" t="str">
        <f>IF($A$2=1,IF(SP_SUL!BJ366="","*",SP_SUL!BJ366),IF(SP_SUL!BK366="","*",SP_SUL!BK366))</f>
        <v>Condições climáticas (chuva)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>
        <f>IF(SP_SUL!BH367="","*",SP_SUL!BH367)</f>
        <v>0</v>
      </c>
      <c r="P367" s="147" t="str">
        <f>IF($A$2=1,IF(SP_SUL!BJ369="","*",SP_SUL!BJ369),IF(SP_SUL!BK367="","*",SP_SUL!BK367))</f>
        <v>TP pronto 09h21 / Sem oportunidade de faixa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>
        <f>IF(SP_SUL!BH369="","*",SP_SUL!BH369)</f>
        <v>0</v>
      </c>
      <c r="P369" s="147" t="str">
        <f>IF($A$2=1,IF(SP_SUL!#REF!="","*",SP_SUL!#REF!),IF(SP_SUL!BK369="","*",SP_SUL!BK369))</f>
        <v>Condições climáticas (chuva)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>
        <f>IF(SP_SUL!BH373="","*",SP_SUL!BH373)</f>
        <v>0</v>
      </c>
      <c r="P373" s="147" t="str">
        <f>IF($A$2=1,IF(SP_SUL!BJ373="","*",SP_SUL!BJ373),IF(SP_SUL!BK373="","*",SP_SUL!BK373))</f>
        <v>Devido diagnostico da mec, necessário o abastecimento de areia, alterado a programação para realizar abastecimento em ZKE / MC1 08h29 / Sem oportunidade de faixa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>
        <f>IF(SP_SUL!BH374="","*",SP_SUL!BH374)</f>
        <v>2</v>
      </c>
      <c r="P374" s="147" t="str">
        <f>IF($A$2=1,IF(SP_SUL!BJ374="","*",SP_SUL!BJ374),IF(SP_SUL!BK374="","*",SP_SUL!BK374))</f>
        <v>TP pronto 10h36 /  realizado intervalo das 12h05 até 13h35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>
        <f>IF(SP_SUL!BH375="","*",SP_SUL!BH375)</f>
        <v>2</v>
      </c>
      <c r="P375" s="147" t="str">
        <f>IF($A$2=1,IF(SP_SUL!BJ375="","*",SP_SUL!BJ375),IF(SP_SUL!BK375="","*",SP_SUL!BK375))</f>
        <v>TP pronto 10h36 /  realizado intervalo das 12h05 até 13h35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>
        <f>IF(SP_SUL!BH376="","*",SP_SUL!BH376)</f>
        <v>0</v>
      </c>
      <c r="P376" s="147" t="str">
        <f>IF($A$2=1,IF(SP_SUL!BJ376="","*",SP_SUL!BJ376),IF(SP_SUL!BK376="","*",SP_SUL!BK376))</f>
        <v>MC1 09h29 / Sem oportunidade de faixa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>
        <f>IF(SP_SUL!BH378="","*",SP_SUL!BH378)</f>
        <v>1</v>
      </c>
      <c r="P378" s="147" t="str">
        <f>IF($A$2=1,IF(SP_SUL!BJ378="","*",SP_SUL!BJ378),IF(SP_SUL!BK378="","*",SP_SUL!BK378))</f>
        <v>Em intervalo das 10h00 até 20h00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>
        <f>IF(SP_SUL!BH379="","*",SP_SUL!BH379)</f>
        <v>1</v>
      </c>
      <c r="P379" s="147" t="str">
        <f>IF($A$2=1,IF(SP_SUL!BJ379="","*",SP_SUL!BJ379),IF(SP_SUL!BK379="","*",SP_SUL!BK379))</f>
        <v>Em intervalo das 10h00 até 20h00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>
        <f>IF(SP_SUL!BH380="","*",SP_SUL!BH380)</f>
        <v>1</v>
      </c>
      <c r="P380" s="147" t="str">
        <f>IF($A$2=1,IF(SP_SUL!BJ380="","*",SP_SUL!BJ380),IF(SP_SUL!BK380="","*",SP_SUL!BK380))</f>
        <v>Em intervalo das 10h00 até 20h00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>
        <f>IF(SP_SUL!BH381="","*",SP_SUL!BH381)</f>
        <v>1</v>
      </c>
      <c r="P381" s="147" t="str">
        <f>IF($A$2=1,IF(SP_SUL!BJ381="","*",SP_SUL!BJ381),IF(SP_SUL!BK381="","*",SP_SUL!BK381))</f>
        <v>Em intervalo das 10h00 até 20h00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>
        <f>IF(SP_SUL!BH382="","*",SP_SUL!BH382)</f>
        <v>1</v>
      </c>
      <c r="P382" s="147" t="str">
        <f>IF($A$2=1,IF(SP_SUL!BJ382="","*",SP_SUL!BJ382),IF(SP_SUL!BK382="","*",SP_SUL!BK382))</f>
        <v>Em intervalo das 10h00 até 20h00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>
        <f>IF(SP_SUL!BH383="","*",SP_SUL!BH383)</f>
        <v>1</v>
      </c>
      <c r="P383" s="147" t="str">
        <f>IF($A$2=1,IF(SP_SUL!BJ383="","*",SP_SUL!BJ383),IF(SP_SUL!BK383="","*",SP_SUL!BK383))</f>
        <v>Em intervalo das 10h00 até 20h00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>
        <f>IF(SP_SUL!BH384="","*",SP_SUL!BH384)</f>
        <v>1</v>
      </c>
      <c r="P384" s="147" t="str">
        <f>IF($A$2=1,IF(SP_SUL!BJ384="","*",SP_SUL!BJ384),IF(SP_SUL!BK384="","*",SP_SUL!BK384))</f>
        <v>Em intervalo das 10h00 até 20h00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>
        <f>IF(SP_SUL!BH386="","*",SP_SUL!BH386)</f>
        <v>2</v>
      </c>
      <c r="P386" s="147" t="str">
        <f>IF($A$2=1,IF(SP_SUL!BJ386="","*",SP_SUL!BJ386),IF(SP_SUL!BK386="","*",SP_SUL!BK386))</f>
        <v>TP pronto 07h29 / Realizado intervalo das 12h55 até 13h55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>
        <f>IF(SP_SUL!BH388="","*",SP_SUL!BH388)</f>
        <v>0</v>
      </c>
      <c r="P388" s="147" t="str">
        <f>IF($A$2=1,IF(SP_SUL!BJ388="","*",SP_SUL!BJ388),IF(SP_SUL!BK388="","*",SP_SUL!BK388))</f>
        <v>TP pronto 09h17 /  sem oportunidade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>
        <f>IF(SP_SUL!BH389="","*",SP_SUL!BH389)</f>
        <v>2</v>
      </c>
      <c r="P389" s="147" t="str">
        <f>IF($A$2=1,IF(SP_SUL!BJ389="","*",SP_SUL!BJ389),IF(SP_SUL!BK389="","*",SP_SUL!BK389))</f>
        <v xml:space="preserve">TP pronto 12h40 / Realizado intervalo das 13h35 até 16h05 / </v>
      </c>
    </row>
    <row r="390" spans="1:16">
      <c r="A390" s="82">
        <f>IF(SP_SUL!B390="","*",SP_SUL!B390)</f>
        <v>46093</v>
      </c>
      <c r="B390" s="83" t="str">
        <f>IF(SP_SUL!X390="","*",SP_SUL!X390)</f>
        <v>Contrato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>
        <f>IF(SP_SUL!BH390="","*",SP_SUL!BH390)</f>
        <v>1</v>
      </c>
      <c r="P390" s="147" t="str">
        <f>IF($A$2=1,IF(SP_SUL!BJ390="","*",SP_SUL!BJ390),IF(SP_SUL!BK390="","*",SP_SUL!BK390))</f>
        <v>Em intervalo das 12h03 até 20h03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>
        <f>IF(SP_SUL!BH391="","*",SP_SUL!BH391)</f>
        <v>1</v>
      </c>
      <c r="P391" s="147" t="str">
        <f>IF($A$2=1,IF(SP_SUL!BJ391="","*",SP_SUL!BJ391),IF(SP_SUL!BK391="","*",SP_SUL!BK391))</f>
        <v>Em intervalo bloco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>
        <f>IF(SP_SUL!BH392="","*",SP_SUL!BH392)</f>
        <v>1</v>
      </c>
      <c r="P392" s="147" t="str">
        <f>IF($A$2=1,IF(SP_SUL!BJ392="","*",SP_SUL!BJ392),IF(SP_SUL!BK392="","*",SP_SUL!BK392))</f>
        <v>Em intervalo das 12h03 até 20h03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>
        <f>IF(SP_SUL!BH395="","*",SP_SUL!BH395)</f>
        <v>0</v>
      </c>
      <c r="P395" s="147" t="str">
        <f>IF($A$2=1,IF(SP_SUL!BJ395="","*",SP_SUL!BJ395),IF(SP_SUL!BK395="","*",SP_SUL!BK395))</f>
        <v>TP pronto 08h49, sem oportunidade de faixa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>
        <f>IF(SP_SUL!BH396="","*",SP_SUL!BH396)</f>
        <v>0</v>
      </c>
      <c r="P396" s="147" t="str">
        <f>IF($A$2=1,IF(SP_SUL!BJ396="","*",SP_SUL!BJ396),IF(SP_SUL!BK396="","*",SP_SUL!BK396))</f>
        <v>MC1 07h39 / Sem oportunidade de faixa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>
        <f>IF(SP_SUL!B399="","*",SP_SUL!B399)</f>
        <v>46094</v>
      </c>
      <c r="B399" s="83" t="str">
        <f>IF(SP_SUL!X399="","*",SP_SUL!X399)</f>
        <v>Oportunidade</v>
      </c>
      <c r="C399" s="83" t="str">
        <f>IF(SP_SUL!S399="","*",SP_SUL!S399)</f>
        <v>SP SUL</v>
      </c>
      <c r="D399" s="83" t="str">
        <f>IF(SP_SUL!T399="","*",SP_SUL!T399)</f>
        <v>ZBV-ZRX</v>
      </c>
      <c r="E399" s="83" t="str">
        <f>IF(SP_SUL!D399="","*",SP_SUL!D399)</f>
        <v>KLECIO (TP-699)</v>
      </c>
      <c r="F399" s="83" t="str">
        <f>IF(SP_SUL!H399="","*",SP_SUL!H399)</f>
        <v>-</v>
      </c>
      <c r="G399" s="83" t="str">
        <f>IF(SP_SUL!M399="","*",SP_SUL!M399)</f>
        <v>ZTT</v>
      </c>
      <c r="H399" s="116">
        <f>IF(SP_SUL!K399="","*",SP_SUL!K399)</f>
        <v>97.3</v>
      </c>
      <c r="I399" s="113">
        <f>IF(SP_SUL!O399="","*",SP_SUL!O399)</f>
        <v>0.375</v>
      </c>
      <c r="J399" s="113">
        <f>IF(SP_SUL!P399="","*",SP_SUL!P399)</f>
        <v>6.25E-2</v>
      </c>
      <c r="K399" s="83" t="str">
        <f>IF(SP_SUL!AK399="","*",SP_SUL!AK399)</f>
        <v>-</v>
      </c>
      <c r="L399" s="83" t="str">
        <f>IF(SP_SUL!AM399="","*",SP_SUL!AM399)</f>
        <v>ZTT</v>
      </c>
      <c r="M399" s="83">
        <f>IF(SP_SUL!AP399="","*",SP_SUL!AP399)</f>
        <v>97.3</v>
      </c>
      <c r="N399" s="83" t="str">
        <f>IF(SP_SUL!AM399="","*",SP_SUL!AM399)</f>
        <v>ZTT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>
        <f>IF(SP_SUL!B400="","*",SP_SUL!B400)</f>
        <v>46094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V92</v>
      </c>
      <c r="F400" s="83" t="str">
        <f>IF(SP_SUL!H400="","*",SP_SUL!H400)</f>
        <v>ZAC-2</v>
      </c>
      <c r="G400" s="83" t="str">
        <f>IF(SP_SUL!M400="","*",SP_SUL!M400)</f>
        <v>ZAC-ZSW</v>
      </c>
      <c r="H400" s="116">
        <f>IF(SP_SUL!K400="","*",SP_SUL!K400)</f>
        <v>82.5</v>
      </c>
      <c r="I400" s="113">
        <f>IF(SP_SUL!O400="","*",SP_SUL!O400)</f>
        <v>0.375</v>
      </c>
      <c r="J400" s="113">
        <f>IF(SP_SUL!P400="","*",SP_SUL!P400)</f>
        <v>8.3333333333333329E-2</v>
      </c>
      <c r="K400" s="83" t="str">
        <f>IF(SP_SUL!AK400="","*",SP_SUL!AK400)</f>
        <v>ZAC-2</v>
      </c>
      <c r="L400" s="83" t="str">
        <f>IF(SP_SUL!AM400="","*",SP_SUL!AM400)</f>
        <v>ZAC-ZSW</v>
      </c>
      <c r="M400" s="83">
        <f>IF(SP_SUL!AP400="","*",SP_SUL!AP400)</f>
        <v>82.5</v>
      </c>
      <c r="N400" s="83" t="str">
        <f>IF(SP_SUL!AM400="","*",SP_SUL!AM400)</f>
        <v>ZAC-ZSW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Contrato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 xml:space="preserve">TURMA FIXA VIA </v>
      </c>
      <c r="F401" s="83" t="str">
        <f>IF(SP_SUL!H401="","*",SP_SUL!H401)</f>
        <v>-</v>
      </c>
      <c r="G401" s="83" t="str">
        <f>IF(SP_SUL!M401="","*",SP_SUL!M401)</f>
        <v>ZBM</v>
      </c>
      <c r="H401" s="116">
        <f>IF(SP_SUL!K401="","*",SP_SUL!K401)</f>
        <v>56.2</v>
      </c>
      <c r="I401" s="113">
        <f>IF(SP_SUL!O401="","*",SP_SUL!O401)</f>
        <v>0.54166666666666663</v>
      </c>
      <c r="J401" s="113">
        <f>IF(SP_SUL!P401="","*",SP_SUL!P401)</f>
        <v>0.16666666666666666</v>
      </c>
      <c r="K401" s="83" t="str">
        <f>IF(SP_SUL!AK401="","*",SP_SUL!AK401)</f>
        <v>-</v>
      </c>
      <c r="L401" s="83" t="str">
        <f>IF(SP_SUL!AM401="","*",SP_SUL!AM401)</f>
        <v>ZBM</v>
      </c>
      <c r="M401" s="83">
        <f>IF(SP_SUL!AP401="","*",SP_SUL!AP401)</f>
        <v>56.2</v>
      </c>
      <c r="N401" s="83" t="str">
        <f>IF(SP_SUL!AM401="","*",SP_SUL!AM401)</f>
        <v>ZBM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>
        <f>IF(SP_SUL!B403="","*",SP_SUL!B403)</f>
        <v>46094</v>
      </c>
      <c r="B403" s="83" t="str">
        <f>IF(SP_SUL!X403="","*",SP_SUL!X403)</f>
        <v>Oportunidade</v>
      </c>
      <c r="C403" s="83" t="str">
        <f>IF(SP_SUL!S403="","*",SP_SUL!S403)</f>
        <v>SP SUL</v>
      </c>
      <c r="D403" s="83" t="str">
        <f>IF(SP_SUL!T403="","*",SP_SUL!T403)</f>
        <v>ZBV-ZKE</v>
      </c>
      <c r="E403" s="83" t="str">
        <f>IF(SP_SUL!D403="","*",SP_SUL!D403)</f>
        <v>W59</v>
      </c>
      <c r="F403" s="83" t="str">
        <f>IF(SP_SUL!H403="","*",SP_SUL!H403)</f>
        <v>ZYU-1</v>
      </c>
      <c r="G403" s="83" t="str">
        <f>IF(SP_SUL!M403="","*",SP_SUL!M403)</f>
        <v>ZQB-ZBV</v>
      </c>
      <c r="H403" s="116">
        <f>IF(SP_SUL!K403="","*",SP_SUL!K403)</f>
        <v>253.7</v>
      </c>
      <c r="I403" s="113">
        <f>IF(SP_SUL!O403="","*",SP_SUL!O403)</f>
        <v>0.33333333333333331</v>
      </c>
      <c r="J403" s="113">
        <f>IF(SP_SUL!P403="","*",SP_SUL!P403)</f>
        <v>6.25E-2</v>
      </c>
      <c r="K403" s="83" t="str">
        <f>IF(SP_SUL!AK403="","*",SP_SUL!AK403)</f>
        <v>ZYU-1</v>
      </c>
      <c r="L403" s="83" t="str">
        <f>IF(SP_SUL!AM403="","*",SP_SUL!AM403)</f>
        <v>ZQB-ZBV</v>
      </c>
      <c r="M403" s="83">
        <f>IF(SP_SUL!AP403="","*",SP_SUL!AP403)</f>
        <v>253.7</v>
      </c>
      <c r="N403" s="83" t="str">
        <f>IF(SP_SUL!AM403="","*",SP_SUL!AM403)</f>
        <v>ZQB-ZBV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>
        <f>IF(SP_SUL!B404="","*",SP_SUL!B404)</f>
        <v>46094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JOSÉ (TP-879)</v>
      </c>
      <c r="F404" s="83" t="str">
        <f>IF(SP_SUL!H404="","*",SP_SUL!H404)</f>
        <v>-</v>
      </c>
      <c r="G404" s="83" t="str">
        <f>IF(SP_SUL!M404="","*",SP_SUL!M404)</f>
        <v>ZQB-ZBV</v>
      </c>
      <c r="H404" s="116">
        <f>IF(SP_SUL!K404="","*",SP_SUL!K404)</f>
        <v>253.7</v>
      </c>
      <c r="I404" s="113">
        <f>IF(SP_SUL!O404="","*",SP_SUL!O404)</f>
        <v>0.375</v>
      </c>
      <c r="J404" s="113">
        <f>IF(SP_SUL!P404="","*",SP_SUL!P404)</f>
        <v>6.25E-2</v>
      </c>
      <c r="K404" s="83" t="str">
        <f>IF(SP_SUL!AK404="","*",SP_SUL!AK404)</f>
        <v>-</v>
      </c>
      <c r="L404" s="83" t="str">
        <f>IF(SP_SUL!AM404="","*",SP_SUL!AM404)</f>
        <v>ZQB-ZBV</v>
      </c>
      <c r="M404" s="83">
        <f>IF(SP_SUL!AP404="","*",SP_SUL!AP404)</f>
        <v>253.7</v>
      </c>
      <c r="N404" s="83" t="str">
        <f>IF(SP_SUL!AM404="","*",SP_SUL!AM404)</f>
        <v>ZQB-ZBV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>
        <f>IF(SP_SUL!B405="","*",SP_SUL!B405)</f>
        <v>46094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EDSON/NIVALDO (TP-819)</v>
      </c>
      <c r="F405" s="83" t="str">
        <f>IF(SP_SUL!H405="","*",SP_SUL!H405)</f>
        <v>-</v>
      </c>
      <c r="G405" s="83" t="str">
        <f>IF(SP_SUL!M405="","*",SP_SUL!M405)</f>
        <v>ZXI-ZVK</v>
      </c>
      <c r="H405" s="116">
        <f>IF(SP_SUL!K405="","*",SP_SUL!K405)</f>
        <v>224.45</v>
      </c>
      <c r="I405" s="113">
        <f>IF(SP_SUL!O405="","*",SP_SUL!O405)</f>
        <v>0.375</v>
      </c>
      <c r="J405" s="113">
        <f>IF(SP_SUL!P405="","*",SP_SUL!P405)</f>
        <v>6.25E-2</v>
      </c>
      <c r="K405" s="83" t="str">
        <f>IF(SP_SUL!AK405="","*",SP_SUL!AK405)</f>
        <v>-</v>
      </c>
      <c r="L405" s="83" t="str">
        <f>IF(SP_SUL!AM405="","*",SP_SUL!AM405)</f>
        <v>ZXI-ZVK</v>
      </c>
      <c r="M405" s="83">
        <f>IF(SP_SUL!AP405="","*",SP_SUL!AP405)</f>
        <v>224.45</v>
      </c>
      <c r="N405" s="83" t="str">
        <f>IF(SP_SUL!AM405="","*",SP_SUL!AM405)</f>
        <v>ZXI-ZVK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>
        <f>IF(SP_SUL!B406="","*",SP_SUL!B406)</f>
        <v>46094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ROGÉRIO (TP-730)</v>
      </c>
      <c r="F406" s="83" t="str">
        <f>IF(SP_SUL!H406="","*",SP_SUL!H406)</f>
        <v>ZYU1</v>
      </c>
      <c r="G406" s="83" t="str">
        <f>IF(SP_SUL!M406="","*",SP_SUL!M406)</f>
        <v>ZYU</v>
      </c>
      <c r="H406" s="116">
        <f>IF(SP_SUL!K406="","*",SP_SUL!K406)</f>
        <v>202.45</v>
      </c>
      <c r="I406" s="113">
        <f>IF(SP_SUL!O406="","*",SP_SUL!O406)</f>
        <v>0.375</v>
      </c>
      <c r="J406" s="113">
        <f>IF(SP_SUL!P406="","*",SP_SUL!P406)</f>
        <v>6.25E-2</v>
      </c>
      <c r="K406" s="83" t="str">
        <f>IF(SP_SUL!AK406="","*",SP_SUL!AK406)</f>
        <v>ZYU1</v>
      </c>
      <c r="L406" s="83" t="str">
        <f>IF(SP_SUL!AM406="","*",SP_SUL!AM406)</f>
        <v>ZYU</v>
      </c>
      <c r="M406" s="83">
        <f>IF(SP_SUL!AP406="","*",SP_SUL!AP406)</f>
        <v>202.45</v>
      </c>
      <c r="N406" s="83" t="str">
        <f>IF(SP_SUL!AM406="","*",SP_SUL!AM406)</f>
        <v>ZYU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>
        <f>IF(SP_SUL!B407="","*",SP_SUL!B407)</f>
        <v>46094</v>
      </c>
      <c r="B407" s="83" t="str">
        <f>IF(SP_SUL!X407="","*",SP_SUL!X407)</f>
        <v>Contrato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V93</v>
      </c>
      <c r="F407" s="83" t="str">
        <f>IF(SP_SUL!H407="","*",SP_SUL!H407)</f>
        <v>ZXP-2</v>
      </c>
      <c r="G407" s="83" t="str">
        <f>IF(SP_SUL!M407="","*",SP_SUL!M407)</f>
        <v>ZXP-ZFY</v>
      </c>
      <c r="H407" s="116">
        <f>IF(SP_SUL!K407="","*",SP_SUL!K407)</f>
        <v>190.07</v>
      </c>
      <c r="I407" s="113">
        <f>IF(SP_SUL!O407="","*",SP_SUL!O407)</f>
        <v>0.39583333333333331</v>
      </c>
      <c r="J407" s="113">
        <f>IF(SP_SUL!P407="","*",SP_SUL!P407)</f>
        <v>0.16666666666666666</v>
      </c>
      <c r="K407" s="83" t="str">
        <f>IF(SP_SUL!AK407="","*",SP_SUL!AK407)</f>
        <v>ZXP-2</v>
      </c>
      <c r="L407" s="83" t="str">
        <f>IF(SP_SUL!AM407="","*",SP_SUL!AM407)</f>
        <v>ZXP-ZFY</v>
      </c>
      <c r="M407" s="83">
        <f>IF(SP_SUL!AP407="","*",SP_SUL!AP407)</f>
        <v>190.07</v>
      </c>
      <c r="N407" s="83" t="str">
        <f>IF(SP_SUL!AM407="","*",SP_SUL!AM407)</f>
        <v>ZXP-ZFY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>
        <f>IF(SP_SUL!B408="","*",SP_SUL!B408)</f>
        <v>46094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ROBSON (TF-701)</v>
      </c>
      <c r="F408" s="83" t="str">
        <f>IF(SP_SUL!H408="","*",SP_SUL!H408)</f>
        <v>ZXP189</v>
      </c>
      <c r="G408" s="83" t="str">
        <f>IF(SP_SUL!M408="","*",SP_SUL!M408)</f>
        <v>ZXP-ZFY</v>
      </c>
      <c r="H408" s="116">
        <f>IF(SP_SUL!K408="","*",SP_SUL!K408)</f>
        <v>187.58</v>
      </c>
      <c r="I408" s="113">
        <f>IF(SP_SUL!O408="","*",SP_SUL!O408)</f>
        <v>0.41666666666666669</v>
      </c>
      <c r="J408" s="113">
        <f>IF(SP_SUL!P408="","*",SP_SUL!P408)</f>
        <v>6.25E-2</v>
      </c>
      <c r="K408" s="83" t="str">
        <f>IF(SP_SUL!AK408="","*",SP_SUL!AK408)</f>
        <v>ZXP189</v>
      </c>
      <c r="L408" s="83" t="str">
        <f>IF(SP_SUL!AM408="","*",SP_SUL!AM408)</f>
        <v>ZXP-ZFY</v>
      </c>
      <c r="M408" s="83">
        <f>IF(SP_SUL!AP408="","*",SP_SUL!AP408)</f>
        <v>187.58</v>
      </c>
      <c r="N408" s="83" t="str">
        <f>IF(SP_SUL!AM408="","*",SP_SUL!AM408)</f>
        <v>ZXP-ZFY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>
        <f>IF(SP_SUL!B409="","*",SP_SUL!B409)</f>
        <v>46094</v>
      </c>
      <c r="B409" s="83" t="str">
        <f>IF(SP_SUL!X409="","*",SP_SUL!X409)</f>
        <v>Oportunidade</v>
      </c>
      <c r="C409" s="83" t="str">
        <f>IF(SP_SUL!S409="","*",SP_SUL!S409)</f>
        <v>SP SUL</v>
      </c>
      <c r="D409" s="83" t="str">
        <f>IF(SP_SUL!T409="","*",SP_SUL!T409)</f>
        <v>ZBV-ZKE</v>
      </c>
      <c r="E409" s="83" t="str">
        <f>IF(SP_SUL!D409="","*",SP_SUL!D409)</f>
        <v>CARLOS (TP-722)</v>
      </c>
      <c r="F409" s="83" t="str">
        <f>IF(SP_SUL!H409="","*",SP_SUL!H409)</f>
        <v>-</v>
      </c>
      <c r="G409" s="83" t="str">
        <f>IF(SP_SUL!M409="","*",SP_SUL!M409)</f>
        <v>ZPS-ZCX</v>
      </c>
      <c r="H409" s="116">
        <f>IF(SP_SUL!K409="","*",SP_SUL!K409)</f>
        <v>158.4</v>
      </c>
      <c r="I409" s="113">
        <f>IF(SP_SUL!O409="","*",SP_SUL!O409)</f>
        <v>0.375</v>
      </c>
      <c r="J409" s="113">
        <f>IF(SP_SUL!P409="","*",SP_SUL!P409)</f>
        <v>6.25E-2</v>
      </c>
      <c r="K409" s="83" t="str">
        <f>IF(SP_SUL!AK409="","*",SP_SUL!AK409)</f>
        <v>-</v>
      </c>
      <c r="L409" s="83" t="str">
        <f>IF(SP_SUL!AM409="","*",SP_SUL!AM409)</f>
        <v>ZPS-ZCX</v>
      </c>
      <c r="M409" s="83">
        <f>IF(SP_SUL!AP409="","*",SP_SUL!AP409)</f>
        <v>158.4</v>
      </c>
      <c r="N409" s="83" t="str">
        <f>IF(SP_SUL!AM409="","*",SP_SUL!AM409)</f>
        <v>ZPS-ZCX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>
        <f>IF(SP_SUL!B411="","*",SP_SUL!B411)</f>
        <v>46094</v>
      </c>
      <c r="B411" s="83" t="str">
        <f>IF(SP_SUL!X411="","*",SP_SUL!X411)</f>
        <v>Oportunidade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E17</v>
      </c>
      <c r="F411" s="83" t="str">
        <f>IF(SP_SUL!H411="","*",SP_SUL!H411)</f>
        <v>102ZKW-2</v>
      </c>
      <c r="G411" s="83" t="str">
        <f>IF(SP_SUL!M411="","*",SP_SUL!M411)</f>
        <v>ZLU</v>
      </c>
      <c r="H411" s="116">
        <f>IF(SP_SUL!K411="","*",SP_SUL!K411)</f>
        <v>106.432</v>
      </c>
      <c r="I411" s="113">
        <f>IF(SP_SUL!O411="","*",SP_SUL!O411)</f>
        <v>0.375</v>
      </c>
      <c r="J411" s="113">
        <f>IF(SP_SUL!P411="","*",SP_SUL!P411)</f>
        <v>0.125</v>
      </c>
      <c r="K411" s="83" t="str">
        <f>IF(SP_SUL!AK411="","*",SP_SUL!AK411)</f>
        <v>102ZKW-2</v>
      </c>
      <c r="L411" s="83" t="str">
        <f>IF(SP_SUL!AM411="","*",SP_SUL!AM411)</f>
        <v>ZLU</v>
      </c>
      <c r="M411" s="83">
        <f>IF(SP_SUL!AP411="","*",SP_SUL!AP411)</f>
        <v>106.432</v>
      </c>
      <c r="N411" s="83" t="str">
        <f>IF(SP_SUL!AM411="","*",SP_SUL!AM411)</f>
        <v>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>
        <f>IF(SP_SUL!B412="","*",SP_SUL!B412)</f>
        <v>46094</v>
      </c>
      <c r="B412" s="83" t="str">
        <f>IF(SP_SUL!X412="","*",SP_SUL!X412)</f>
        <v>Oportunidade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EDSON (TP-719)</v>
      </c>
      <c r="F412" s="83" t="str">
        <f>IF(SP_SUL!H412="","*",SP_SUL!H412)</f>
        <v>-</v>
      </c>
      <c r="G412" s="83" t="str">
        <f>IF(SP_SUL!M412="","*",SP_SUL!M412)</f>
        <v>ZYQ-ZEM</v>
      </c>
      <c r="H412" s="116">
        <f>IF(SP_SUL!K412="","*",SP_SUL!K412)</f>
        <v>129.16999999999999</v>
      </c>
      <c r="I412" s="113">
        <f>IF(SP_SUL!O412="","*",SP_SUL!O412)</f>
        <v>0.375</v>
      </c>
      <c r="J412" s="113">
        <f>IF(SP_SUL!P412="","*",SP_SUL!P412)</f>
        <v>8.3333333333333329E-2</v>
      </c>
      <c r="K412" s="83" t="str">
        <f>IF(SP_SUL!AK412="","*",SP_SUL!AK412)</f>
        <v>-</v>
      </c>
      <c r="L412" s="83" t="str">
        <f>IF(SP_SUL!AM412="","*",SP_SUL!AM412)</f>
        <v>ZYQ-ZEM</v>
      </c>
      <c r="M412" s="83">
        <f>IF(SP_SUL!AP412="","*",SP_SUL!AP412)</f>
        <v>129.16999999999999</v>
      </c>
      <c r="N412" s="83" t="str">
        <f>IF(SP_SUL!AM412="","*",SP_SUL!AM412)</f>
        <v>ZYQ-ZEM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>
        <f>IF(SP_SUL!B413="","*",SP_SUL!B413)</f>
        <v>46094</v>
      </c>
      <c r="B413" s="83" t="str">
        <f>IF(SP_SUL!X413="","*",SP_SUL!X413)</f>
        <v>Oportunidade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EDSON (TP-719)</v>
      </c>
      <c r="F413" s="83" t="str">
        <f>IF(SP_SUL!H413="","*",SP_SUL!H413)</f>
        <v>-</v>
      </c>
      <c r="G413" s="83" t="str">
        <f>IF(SP_SUL!M413="","*",SP_SUL!M413)</f>
        <v>ZYQ-ZEM</v>
      </c>
      <c r="H413" s="116">
        <f>IF(SP_SUL!K413="","*",SP_SUL!K413)</f>
        <v>130.6</v>
      </c>
      <c r="I413" s="113">
        <f>IF(SP_SUL!O413="","*",SP_SUL!O413)</f>
        <v>0.375</v>
      </c>
      <c r="J413" s="113">
        <f>IF(SP_SUL!P413="","*",SP_SUL!P413)</f>
        <v>8.3333333333333329E-2</v>
      </c>
      <c r="K413" s="83" t="str">
        <f>IF(SP_SUL!AK413="","*",SP_SUL!AK413)</f>
        <v>-</v>
      </c>
      <c r="L413" s="83" t="str">
        <f>IF(SP_SUL!AM413="","*",SP_SUL!AM413)</f>
        <v>ZYQ-ZEM</v>
      </c>
      <c r="M413" s="83">
        <f>IF(SP_SUL!AP413="","*",SP_SUL!AP413)</f>
        <v>130.6</v>
      </c>
      <c r="N413" s="83" t="str">
        <f>IF(SP_SUL!AM413="","*",SP_SUL!AM413)</f>
        <v>ZYQ-ZEM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>
        <f>IF(SP_SUL!B414="","*",SP_SUL!B414)</f>
        <v>46094</v>
      </c>
      <c r="B414" s="83" t="str">
        <f>IF(SP_SUL!X414="","*",SP_SUL!X414)</f>
        <v>Oportunidade</v>
      </c>
      <c r="C414" s="83" t="str">
        <f>IF(SP_SUL!S414="","*",SP_SUL!S414)</f>
        <v>SP SUL</v>
      </c>
      <c r="D414" s="83" t="str">
        <f>IF(SP_SUL!T414="","*",SP_SUL!T414)</f>
        <v>ZKE-ZEV</v>
      </c>
      <c r="E414" s="83" t="str">
        <f>IF(SP_SUL!D414="","*",SP_SUL!D414)</f>
        <v>V89</v>
      </c>
      <c r="F414" s="83" t="str">
        <f>IF(SP_SUL!H414="","*",SP_SUL!H414)</f>
        <v>ZEM130-1</v>
      </c>
      <c r="G414" s="83" t="str">
        <f>IF(SP_SUL!M414="","*",SP_SUL!M414)</f>
        <v>ZYQ-ZEM</v>
      </c>
      <c r="H414" s="116">
        <f>IF(SP_SUL!K414="","*",SP_SUL!K414)</f>
        <v>132.5</v>
      </c>
      <c r="I414" s="113">
        <f>IF(SP_SUL!O414="","*",SP_SUL!O414)</f>
        <v>0.38541666666666669</v>
      </c>
      <c r="J414" s="113">
        <f>IF(SP_SUL!P414="","*",SP_SUL!P414)</f>
        <v>8.3333333333333329E-2</v>
      </c>
      <c r="K414" s="83" t="str">
        <f>IF(SP_SUL!AK414="","*",SP_SUL!AK414)</f>
        <v>ZEM130-1</v>
      </c>
      <c r="L414" s="83" t="str">
        <f>IF(SP_SUL!AM414="","*",SP_SUL!AM414)</f>
        <v>ZYQ-ZEM</v>
      </c>
      <c r="M414" s="83">
        <f>IF(SP_SUL!AP414="","*",SP_SUL!AP414)</f>
        <v>132.5</v>
      </c>
      <c r="N414" s="83" t="str">
        <f>IF(SP_SUL!AM414="","*",SP_SUL!AM414)</f>
        <v>ZYQ-ZEM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>
        <f>IF(SP_SUL!B415="","*",SP_SUL!B415)</f>
        <v>46094</v>
      </c>
      <c r="B415" s="83" t="str">
        <f>IF(SP_SUL!X415="","*",SP_SUL!X415)</f>
        <v>Oportunidade</v>
      </c>
      <c r="C415" s="83" t="str">
        <f>IF(SP_SUL!S415="","*",SP_SUL!S415)</f>
        <v>SP SUL</v>
      </c>
      <c r="D415" s="83" t="str">
        <f>IF(SP_SUL!T415="","*",SP_SUL!T415)</f>
        <v>ZKE-ZEV</v>
      </c>
      <c r="E415" s="83" t="str">
        <f>IF(SP_SUL!D415="","*",SP_SUL!D415)</f>
        <v>CLEBISON (TP-728)</v>
      </c>
      <c r="F415" s="83" t="str">
        <f>IF(SP_SUL!H415="","*",SP_SUL!H415)</f>
        <v>-</v>
      </c>
      <c r="G415" s="83" t="str">
        <f>IF(SP_SUL!M415="","*",SP_SUL!M415)</f>
        <v>ZYQ-ZEM</v>
      </c>
      <c r="H415" s="116">
        <f>IF(SP_SUL!K415="","*",SP_SUL!K415)</f>
        <v>134.6</v>
      </c>
      <c r="I415" s="113">
        <f>IF(SP_SUL!O415="","*",SP_SUL!O415)</f>
        <v>0.375</v>
      </c>
      <c r="J415" s="113">
        <f>IF(SP_SUL!P415="","*",SP_SUL!P415)</f>
        <v>8.3333333333333329E-2</v>
      </c>
      <c r="K415" s="83" t="str">
        <f>IF(SP_SUL!AK415="","*",SP_SUL!AK415)</f>
        <v>-</v>
      </c>
      <c r="L415" s="83" t="str">
        <f>IF(SP_SUL!AM415="","*",SP_SUL!AM415)</f>
        <v>ZYQ-ZEM</v>
      </c>
      <c r="M415" s="83">
        <f>IF(SP_SUL!AP415="","*",SP_SUL!AP415)</f>
        <v>134.6</v>
      </c>
      <c r="N415" s="83" t="str">
        <f>IF(SP_SUL!AM415="","*",SP_SUL!AM415)</f>
        <v>ZYQ-ZEM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>
        <f>IF(SP_SUL!B416="","*",SP_SUL!B416)</f>
        <v>46094</v>
      </c>
      <c r="B416" s="83" t="str">
        <f>IF(SP_SUL!X416="","*",SP_SUL!X416)</f>
        <v>Oportunidade</v>
      </c>
      <c r="C416" s="83" t="str">
        <f>IF(SP_SUL!S416="","*",SP_SUL!S416)</f>
        <v>SP SUL</v>
      </c>
      <c r="D416" s="83" t="str">
        <f>IF(SP_SUL!T416="","*",SP_SUL!T416)</f>
        <v>ZKE-ZEV</v>
      </c>
      <c r="E416" s="83" t="str">
        <f>IF(SP_SUL!D416="","*",SP_SUL!D416)</f>
        <v>ISMAEL(TP-726)</v>
      </c>
      <c r="F416" s="83" t="str">
        <f>IF(SP_SUL!H416="","*",SP_SUL!H416)</f>
        <v>-</v>
      </c>
      <c r="G416" s="83" t="str">
        <f>IF(SP_SUL!M416="","*",SP_SUL!M416)</f>
        <v>ZYQ-ZEM</v>
      </c>
      <c r="H416" s="116">
        <f>IF(SP_SUL!K416="","*",SP_SUL!K416)</f>
        <v>134.6</v>
      </c>
      <c r="I416" s="113">
        <f>IF(SP_SUL!O416="","*",SP_SUL!O416)</f>
        <v>0.375</v>
      </c>
      <c r="J416" s="113">
        <f>IF(SP_SUL!P416="","*",SP_SUL!P416)</f>
        <v>8.3333333333333329E-2</v>
      </c>
      <c r="K416" s="83" t="str">
        <f>IF(SP_SUL!AK416="","*",SP_SUL!AK416)</f>
        <v>-</v>
      </c>
      <c r="L416" s="83" t="str">
        <f>IF(SP_SUL!AM416="","*",SP_SUL!AM416)</f>
        <v>ZYQ-ZEM</v>
      </c>
      <c r="M416" s="83">
        <f>IF(SP_SUL!AP416="","*",SP_SUL!AP416)</f>
        <v>134.6</v>
      </c>
      <c r="N416" s="83" t="str">
        <f>IF(SP_SUL!AM416="","*",SP_SUL!AM416)</f>
        <v>ZYQ-ZEM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>
        <f>IF(SP_SUL!B418="","*",SP_SUL!B418)</f>
        <v>46094</v>
      </c>
      <c r="B418" s="83" t="str">
        <f>IF(SP_SUL!X418="","*",SP_SUL!X418)</f>
        <v>Oportunidade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CAIQUE (TMA-677)</v>
      </c>
      <c r="F418" s="83" t="str">
        <f>IF(SP_SUL!H418="","*",SP_SUL!H418)</f>
        <v>-</v>
      </c>
      <c r="G418" s="83" t="str">
        <f>IF(SP_SUL!M418="","*",SP_SUL!M418)</f>
        <v>ZEJ-ZEV</v>
      </c>
      <c r="H418" s="116">
        <f>IF(SP_SUL!K418="","*",SP_SUL!K418)</f>
        <v>156.005</v>
      </c>
      <c r="I418" s="113">
        <f>IF(SP_SUL!O418="","*",SP_SUL!O418)</f>
        <v>0.35416666666666669</v>
      </c>
      <c r="J418" s="113">
        <f>IF(SP_SUL!P418="","*",SP_SUL!P418)</f>
        <v>6.25E-2</v>
      </c>
      <c r="K418" s="83" t="str">
        <f>IF(SP_SUL!AK418="","*",SP_SUL!AK418)</f>
        <v>-</v>
      </c>
      <c r="L418" s="83" t="str">
        <f>IF(SP_SUL!AM418="","*",SP_SUL!AM418)</f>
        <v>ZEJ-ZEV</v>
      </c>
      <c r="M418" s="83">
        <f>IF(SP_SUL!AP418="","*",SP_SUL!AP418)</f>
        <v>156.005</v>
      </c>
      <c r="N418" s="83" t="str">
        <f>IF(SP_SUL!AM418="","*",SP_SUL!AM418)</f>
        <v>ZEJ-ZEV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>
        <f>IF(SP_SUL!B419="","*",SP_SUL!B419)</f>
        <v>46094</v>
      </c>
      <c r="B419" s="83" t="str">
        <f>IF(SP_SUL!X419="","*",SP_SUL!X419)</f>
        <v>Oportunidade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WALTER (TP-810)</v>
      </c>
      <c r="F419" s="83" t="str">
        <f>IF(SP_SUL!H419="","*",SP_SUL!H419)</f>
        <v>-</v>
      </c>
      <c r="G419" s="83" t="str">
        <f>IF(SP_SUL!M419="","*",SP_SUL!M419)</f>
        <v>ZEJ-ZEV</v>
      </c>
      <c r="H419" s="116">
        <f>IF(SP_SUL!K419="","*",SP_SUL!K419)</f>
        <v>156.34399999999999</v>
      </c>
      <c r="I419" s="113">
        <f>IF(SP_SUL!O419="","*",SP_SUL!O419)</f>
        <v>0.35416666666666669</v>
      </c>
      <c r="J419" s="113">
        <f>IF(SP_SUL!P419="","*",SP_SUL!P419)</f>
        <v>6.25E-2</v>
      </c>
      <c r="K419" s="83" t="str">
        <f>IF(SP_SUL!AK419="","*",SP_SUL!AK419)</f>
        <v>-</v>
      </c>
      <c r="L419" s="83" t="str">
        <f>IF(SP_SUL!AM419="","*",SP_SUL!AM419)</f>
        <v>ZEJ-ZEV</v>
      </c>
      <c r="M419" s="83">
        <f>IF(SP_SUL!AP419="","*",SP_SUL!AP419)</f>
        <v>156.34399999999999</v>
      </c>
      <c r="N419" s="83" t="str">
        <f>IF(SP_SUL!AM419="","*",SP_SUL!AM419)</f>
        <v>ZEJ-ZEV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>
        <f>IF(SP_SUL!B420="","*",SP_SUL!B420)</f>
        <v>46094</v>
      </c>
      <c r="B420" s="83" t="str">
        <f>IF(SP_SUL!X420="","*",SP_SUL!X420)</f>
        <v>Oportunidade</v>
      </c>
      <c r="C420" s="83" t="str">
        <f>IF(SP_SUL!S420="","*",SP_SUL!S420)</f>
        <v>SP SUL</v>
      </c>
      <c r="D420" s="83" t="str">
        <f>IF(SP_SUL!T420="","*",SP_SUL!T420)</f>
        <v>ZEV-ZPT</v>
      </c>
      <c r="E420" s="83" t="str">
        <f>IF(SP_SUL!D420="","*",SP_SUL!D420)</f>
        <v>W97</v>
      </c>
      <c r="F420" s="83" t="str">
        <f>IF(SP_SUL!H420="","*",SP_SUL!H420)</f>
        <v>Z3V3</v>
      </c>
      <c r="G420" s="83" t="str">
        <f>IF(SP_SUL!M420="","*",SP_SUL!M420)</f>
        <v>ZEV</v>
      </c>
      <c r="H420" s="116">
        <f>IF(SP_SUL!K420="","*",SP_SUL!K420)</f>
        <v>66</v>
      </c>
      <c r="I420" s="113">
        <f>IF(SP_SUL!O420="","*",SP_SUL!O420)</f>
        <v>0.35416666666666669</v>
      </c>
      <c r="J420" s="113">
        <f>IF(SP_SUL!P420="","*",SP_SUL!P420)</f>
        <v>4.1666666666666664E-2</v>
      </c>
      <c r="K420" s="83" t="str">
        <f>IF(SP_SUL!AK420="","*",SP_SUL!AK420)</f>
        <v>Z3V3</v>
      </c>
      <c r="L420" s="83" t="str">
        <f>IF(SP_SUL!AM420="","*",SP_SUL!AM420)</f>
        <v>ZEV</v>
      </c>
      <c r="M420" s="83">
        <f>IF(SP_SUL!AP420="","*",SP_SUL!AP420)</f>
        <v>66</v>
      </c>
      <c r="N420" s="83" t="str">
        <f>IF(SP_SUL!AM420="","*",SP_SUL!AM420)</f>
        <v>ZEV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>
        <f>IF(SP_SUL!B422="","*",SP_SUL!B422)</f>
        <v>46094</v>
      </c>
      <c r="B422" s="83" t="str">
        <f>IF(SP_SUL!X422="","*",SP_SUL!X422)</f>
        <v>Contrato</v>
      </c>
      <c r="C422" s="83" t="str">
        <f>IF(SP_SUL!S422="","*",SP_SUL!S422)</f>
        <v>SP SUL</v>
      </c>
      <c r="D422" s="83" t="str">
        <f>IF(SP_SUL!T422="","*",SP_SUL!T422)</f>
        <v>ZEV-ZPT</v>
      </c>
      <c r="E422" s="83" t="str">
        <f>IF(SP_SUL!D422="","*",SP_SUL!D422)</f>
        <v>MOD ZEZ</v>
      </c>
      <c r="F422" s="83" t="str">
        <f>IF(SP_SUL!H422="","*",SP_SUL!H422)</f>
        <v>-</v>
      </c>
      <c r="G422" s="83" t="str">
        <f>IF(SP_SUL!M422="","*",SP_SUL!M422)</f>
        <v>ZEZ-069</v>
      </c>
      <c r="H422" s="116">
        <f>IF(SP_SUL!K422="","*",SP_SUL!K422)</f>
        <v>75.099999999999994</v>
      </c>
      <c r="I422" s="113">
        <f>IF(SP_SUL!O422="","*",SP_SUL!O422)</f>
        <v>0.375</v>
      </c>
      <c r="J422" s="113">
        <f>IF(SP_SUL!P422="","*",SP_SUL!P422)</f>
        <v>0.16666666666666666</v>
      </c>
      <c r="K422" s="83" t="str">
        <f>IF(SP_SUL!AK422="","*",SP_SUL!AK422)</f>
        <v>-</v>
      </c>
      <c r="L422" s="83" t="str">
        <f>IF(SP_SUL!AM422="","*",SP_SUL!AM422)</f>
        <v>ZEZ-069</v>
      </c>
      <c r="M422" s="83">
        <f>IF(SP_SUL!AP422="","*",SP_SUL!AP422)</f>
        <v>75.099999999999994</v>
      </c>
      <c r="N422" s="83" t="str">
        <f>IF(SP_SUL!AM422="","*",SP_SUL!AM422)</f>
        <v>ZEZ-069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>
        <f>IF(SP_SUL!B423="","*",SP_SUL!B423)</f>
        <v>46094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W61</v>
      </c>
      <c r="F423" s="83" t="str">
        <f>IF(SP_SUL!H423="","*",SP_SUL!H423)</f>
        <v>K67ZEV2</v>
      </c>
      <c r="G423" s="83" t="str">
        <f>IF(SP_SUL!M423="","*",SP_SUL!M423)</f>
        <v>ZXW-ZEZ</v>
      </c>
      <c r="H423" s="116">
        <f>IF(SP_SUL!K423="","*",SP_SUL!K423)</f>
        <v>78.5</v>
      </c>
      <c r="I423" s="113">
        <f>IF(SP_SUL!O423="","*",SP_SUL!O423)</f>
        <v>0.32291666666666669</v>
      </c>
      <c r="J423" s="113">
        <f>IF(SP_SUL!P423="","*",SP_SUL!P423)</f>
        <v>6.9444444444444447E-4</v>
      </c>
      <c r="K423" s="83" t="str">
        <f>IF(SP_SUL!AK423="","*",SP_SUL!AK423)</f>
        <v>K67ZEV2</v>
      </c>
      <c r="L423" s="83" t="str">
        <f>IF(SP_SUL!AM423="","*",SP_SUL!AM423)</f>
        <v>ZXW-ZEZ</v>
      </c>
      <c r="M423" s="83">
        <f>IF(SP_SUL!AP423="","*",SP_SUL!AP423)</f>
        <v>78.5</v>
      </c>
      <c r="N423" s="83" t="str">
        <f>IF(SP_SUL!AM423="","*",SP_SUL!AM423)</f>
        <v>ZXW-ZEZ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>
        <f>IF(SP_SUL!B424="","*",SP_SUL!B424)</f>
        <v>46094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MODERNIZAÇÃO TURMA 2</v>
      </c>
      <c r="F424" s="83" t="str">
        <f>IF(SP_SUL!H424="","*",SP_SUL!H424)</f>
        <v>-</v>
      </c>
      <c r="G424" s="83" t="str">
        <f>IF(SP_SUL!M424="","*",SP_SUL!M424)</f>
        <v>ZXW-ZEZ</v>
      </c>
      <c r="H424" s="116">
        <f>IF(SP_SUL!K424="","*",SP_SUL!K424)</f>
        <v>80.040000000000006</v>
      </c>
      <c r="I424" s="113">
        <f>IF(SP_SUL!O424="","*",SP_SUL!O424)</f>
        <v>0.375</v>
      </c>
      <c r="J424" s="113">
        <f>IF(SP_SUL!P424="","*",SP_SUL!P424)</f>
        <v>6.9444444444444447E-4</v>
      </c>
      <c r="K424" s="83" t="str">
        <f>IF(SP_SUL!AK424="","*",SP_SUL!AK424)</f>
        <v>-</v>
      </c>
      <c r="L424" s="83" t="str">
        <f>IF(SP_SUL!AM424="","*",SP_SUL!AM424)</f>
        <v>ZXW-ZEZ</v>
      </c>
      <c r="M424" s="83">
        <f>IF(SP_SUL!AP424="","*",SP_SUL!AP424)</f>
        <v>80.040000000000006</v>
      </c>
      <c r="N424" s="83" t="str">
        <f>IF(SP_SUL!AM424="","*",SP_SUL!AM424)</f>
        <v>ZXW-ZEZ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>
        <f>IF(SP_SUL!B426="","*",SP_SUL!B426)</f>
        <v>46094</v>
      </c>
      <c r="B426" s="83" t="str">
        <f>IF(SP_SUL!X426="","*",SP_SUL!X426)</f>
        <v>Oportunidade</v>
      </c>
      <c r="C426" s="83" t="str">
        <f>IF(SP_SUL!S426="","*",SP_SUL!S426)</f>
        <v>SP SUL</v>
      </c>
      <c r="D426" s="83" t="str">
        <f>IF(SP_SUL!T426="","*",SP_SUL!T426)</f>
        <v>ZEV-ZPT</v>
      </c>
      <c r="E426" s="83" t="str">
        <f>IF(SP_SUL!D426="","*",SP_SUL!D426)</f>
        <v>W62</v>
      </c>
      <c r="F426" s="83" t="str">
        <f>IF(SP_SUL!H426="","*",SP_SUL!H426)</f>
        <v>ZPT105-1</v>
      </c>
      <c r="G426" s="83" t="str">
        <f>IF(SP_SUL!M426="","*",SP_SUL!M426)</f>
        <v>ZPT-ZXW</v>
      </c>
      <c r="H426" s="116">
        <f>IF(SP_SUL!K426="","*",SP_SUL!K426)</f>
        <v>83.7</v>
      </c>
      <c r="I426" s="113">
        <f>IF(SP_SUL!O426="","*",SP_SUL!O426)</f>
        <v>0.33333333333333331</v>
      </c>
      <c r="J426" s="113">
        <f>IF(SP_SUL!P426="","*",SP_SUL!P426)</f>
        <v>4.1666666666666664E-2</v>
      </c>
      <c r="K426" s="83" t="str">
        <f>IF(SP_SUL!AK426="","*",SP_SUL!AK426)</f>
        <v>ZPT105-1</v>
      </c>
      <c r="L426" s="83" t="str">
        <f>IF(SP_SUL!AM426="","*",SP_SUL!AM426)</f>
        <v>ZPT-ZXW</v>
      </c>
      <c r="M426" s="83">
        <f>IF(SP_SUL!AP426="","*",SP_SUL!AP426)</f>
        <v>83.7</v>
      </c>
      <c r="N426" s="83" t="str">
        <f>IF(SP_SUL!AM426="","*",SP_SUL!AM426)</f>
        <v>ZPT-ZXW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>
        <f>IF(SP_SUL!B427="","*",SP_SUL!B427)</f>
        <v>46094</v>
      </c>
      <c r="B427" s="83" t="str">
        <f>IF(SP_SUL!X427="","*",SP_SUL!X427)</f>
        <v>Oportunidade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 ZGP</v>
      </c>
      <c r="F427" s="83" t="str">
        <f>IF(SP_SUL!H427="","*",SP_SUL!H427)</f>
        <v>-</v>
      </c>
      <c r="G427" s="83" t="str">
        <f>IF(SP_SUL!M427="","*",SP_SUL!M427)</f>
        <v>ZGP</v>
      </c>
      <c r="H427" s="116">
        <f>IF(SP_SUL!K427="","*",SP_SUL!K427)</f>
        <v>102</v>
      </c>
      <c r="I427" s="113">
        <f>IF(SP_SUL!O427="","*",SP_SUL!O427)</f>
        <v>0.47916666666666669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</v>
      </c>
      <c r="M427" s="83">
        <f>IF(SP_SUL!AP427="","*",SP_SUL!AP427)</f>
        <v>102</v>
      </c>
      <c r="N427" s="83" t="str">
        <f>IF(SP_SUL!AM427="","*",SP_SUL!AM427)</f>
        <v>ZGP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>
        <f>IF(SP_SUL!B428="","*",SP_SUL!B428)</f>
        <v>46094</v>
      </c>
      <c r="B428" s="83" t="str">
        <f>IF(SP_SUL!X428="","*",SP_SUL!X428)</f>
        <v>Oportunidade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V85</v>
      </c>
      <c r="F428" s="83" t="str">
        <f>IF(SP_SUL!H428="","*",SP_SUL!H428)</f>
        <v>ZDRZPT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0.41666666666666669</v>
      </c>
      <c r="J428" s="113">
        <f>IF(SP_SUL!P428="","*",SP_SUL!P428)</f>
        <v>0</v>
      </c>
      <c r="K428" s="83" t="str">
        <f>IF(SP_SUL!AK428="","*",SP_SUL!AK428)</f>
        <v>ZDRZPT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>
        <f>IF(SP_SUL!B429="","*",SP_SUL!B429)</f>
        <v>46094</v>
      </c>
      <c r="B429" s="83" t="str">
        <f>IF(SP_SUL!X429="","*",SP_SUL!X429)</f>
        <v>Oportunidade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HUELTON (TP-725)</v>
      </c>
      <c r="F429" s="83" t="str">
        <f>IF(SP_SUL!H429="","*",SP_SUL!H429)</f>
        <v>-</v>
      </c>
      <c r="G429" s="83" t="str">
        <f>IF(SP_SUL!M429="","*",SP_SUL!M429)</f>
        <v>ZPT</v>
      </c>
      <c r="H429" s="116">
        <f>IF(SP_SUL!K429="","*",SP_SUL!K429)</f>
        <v>106.8</v>
      </c>
      <c r="I429" s="113">
        <f>IF(SP_SUL!O429="","*",SP_SUL!O429)</f>
        <v>0.375</v>
      </c>
      <c r="J429" s="113">
        <f>IF(SP_SUL!P429="","*",SP_SUL!P429)</f>
        <v>0.125</v>
      </c>
      <c r="K429" s="83" t="str">
        <f>IF(SP_SUL!AK429="","*",SP_SUL!AK429)</f>
        <v>-</v>
      </c>
      <c r="L429" s="83" t="str">
        <f>IF(SP_SUL!AM429="","*",SP_SUL!AM429)</f>
        <v>ZPT</v>
      </c>
      <c r="M429" s="83">
        <f>IF(SP_SUL!AP429="","*",SP_SUL!AP429)</f>
        <v>106.8</v>
      </c>
      <c r="N429" s="83" t="str">
        <f>IF(SP_SUL!AM429="","*",SP_SUL!AM429)</f>
        <v>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>
        <f>IF(SP_SUL!B430="","*",SP_SUL!B430)</f>
        <v>46094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EXPANSÃO TURMA 1</v>
      </c>
      <c r="F430" s="83" t="str">
        <f>IF(SP_SUL!H430="","*",SP_SUL!H430)</f>
        <v>-</v>
      </c>
      <c r="G430" s="83" t="str">
        <f>IF(SP_SUL!M430="","*",SP_SUL!M430)</f>
        <v>ZGM-109</v>
      </c>
      <c r="H430" s="116">
        <f>IF(SP_SUL!K430="","*",SP_SUL!K430)</f>
        <v>111.5</v>
      </c>
      <c r="I430" s="113">
        <f>IF(SP_SUL!O430="","*",SP_SUL!O430)</f>
        <v>0.41666666666666669</v>
      </c>
      <c r="J430" s="113">
        <f>IF(SP_SUL!P430="","*",SP_SUL!P430)</f>
        <v>6.25E-2</v>
      </c>
      <c r="K430" s="83" t="str">
        <f>IF(SP_SUL!AK430="","*",SP_SUL!AK430)</f>
        <v>-</v>
      </c>
      <c r="L430" s="83" t="str">
        <f>IF(SP_SUL!AM430="","*",SP_SUL!AM430)</f>
        <v>ZGM-109</v>
      </c>
      <c r="M430" s="83">
        <f>IF(SP_SUL!AP430="","*",SP_SUL!AP430)</f>
        <v>111.5</v>
      </c>
      <c r="N430" s="83" t="str">
        <f>IF(SP_SUL!AM430="","*",SP_SUL!AM430)</f>
        <v>ZGM-109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>
        <f>IF(SP_SUL!B431="","*",SP_SUL!B431)</f>
        <v>46094</v>
      </c>
      <c r="B431" s="83" t="str">
        <f>IF(SP_SUL!X431="","*",SP_SUL!X431)</f>
        <v>Contrato</v>
      </c>
      <c r="C431" s="83" t="str">
        <f>IF(SP_SUL!S431="","*",SP_SUL!S431)</f>
        <v>SP SUL</v>
      </c>
      <c r="D431" s="83" t="str">
        <f>IF(SP_SUL!T431="","*",SP_SUL!T431)</f>
        <v>ZEV-ZPT</v>
      </c>
      <c r="E431" s="83" t="str">
        <f>IF(SP_SUL!D431="","*",SP_SUL!D431)</f>
        <v>LEANDRO (TP-727)</v>
      </c>
      <c r="F431" s="83" t="str">
        <f>IF(SP_SUL!H431="","*",SP_SUL!H431)</f>
        <v>-</v>
      </c>
      <c r="G431" s="83" t="str">
        <f>IF(SP_SUL!M431="","*",SP_SUL!M431)</f>
        <v>ZGM-109</v>
      </c>
      <c r="H431" s="116">
        <f>IF(SP_SUL!K431="","*",SP_SUL!K431)</f>
        <v>113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ZGM-109</v>
      </c>
      <c r="M431" s="83">
        <f>IF(SP_SUL!AP431="","*",SP_SUL!AP431)</f>
        <v>113</v>
      </c>
      <c r="N431" s="83" t="str">
        <f>IF(SP_SUL!AM431="","*",SP_SUL!AM431)</f>
        <v>ZGM-109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>
        <f>IF(SP_SUL!B432="","*",SP_SUL!B432)</f>
        <v>46094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RAFAEL (TP-695)</v>
      </c>
      <c r="F432" s="83" t="str">
        <f>IF(SP_SUL!H432="","*",SP_SUL!H432)</f>
        <v>-</v>
      </c>
      <c r="G432" s="83" t="str">
        <f>IF(SP_SUL!M432="","*",SP_SUL!M432)</f>
        <v>ZPG-ZZV</v>
      </c>
      <c r="H432" s="116">
        <f>IF(SP_SUL!K432="","*",SP_SUL!K432)</f>
        <v>122.7</v>
      </c>
      <c r="I432" s="113">
        <f>IF(SP_SUL!O432="","*",SP_SUL!O432)</f>
        <v>0.375</v>
      </c>
      <c r="J432" s="113">
        <f>IF(SP_SUL!P432="","*",SP_SUL!P432)</f>
        <v>0.125</v>
      </c>
      <c r="K432" s="83" t="str">
        <f>IF(SP_SUL!AK432="","*",SP_SUL!AK432)</f>
        <v>-</v>
      </c>
      <c r="L432" s="83" t="str">
        <f>IF(SP_SUL!AM432="","*",SP_SUL!AM432)</f>
        <v>ZPG-ZZV</v>
      </c>
      <c r="M432" s="83">
        <f>IF(SP_SUL!AP432="","*",SP_SUL!AP432)</f>
        <v>122.7</v>
      </c>
      <c r="N432" s="83" t="str">
        <f>IF(SP_SUL!AM432="","*",SP_SUL!AM432)</f>
        <v>ZPG-ZZV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C1" sqref="C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36"/>
      <c r="B1" s="237"/>
      <c r="C1" s="23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9" t="s">
        <v>1009</v>
      </c>
      <c r="Q1" s="240"/>
      <c r="R1" s="111"/>
      <c r="S1" s="84"/>
      <c r="T1" s="86"/>
      <c r="U1" s="241" t="s">
        <v>1621</v>
      </c>
      <c r="V1" s="241"/>
      <c r="W1" s="241"/>
    </row>
    <row r="2" spans="1:23" ht="15" customHeight="1">
      <c r="A2" s="87" t="s">
        <v>1622</v>
      </c>
      <c r="B2" s="87" t="s">
        <v>1617</v>
      </c>
      <c r="C2" s="87" t="s">
        <v>376</v>
      </c>
      <c r="D2" s="88" t="s">
        <v>961</v>
      </c>
      <c r="E2" s="88" t="s">
        <v>4</v>
      </c>
      <c r="F2" s="88" t="s">
        <v>1616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1623</v>
      </c>
      <c r="T2" s="91" t="s">
        <v>964</v>
      </c>
      <c r="U2" s="138">
        <f ca="1">TODAY()-1</f>
        <v>46092</v>
      </c>
      <c r="V2" s="138">
        <f ca="1">U2-1</f>
        <v>46091</v>
      </c>
      <c r="W2" s="138">
        <f ca="1">V2-1</f>
        <v>46090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1860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>
        <f ca="1">_xlfn.XLOOKUP(G4&amp;$V$2,BS_CONTROLE[CHAVE],BS_CONTROLE[Quantidade_11],"-")</f>
        <v>40</v>
      </c>
      <c r="W4" s="137">
        <f ca="1">_xlfn.XLOOKUP(G4&amp;$W$2,BS_CONTROLE[CHAVE],BS_CONTROLE[Quantidade_11],"-")</f>
        <v>82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940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1860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700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23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1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1750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>
        <f ca="1">_xlfn.XLOOKUP(G27&amp;$V$2,BS_CONTROLE[CHAVE],BS_CONTROLE[Quantidade_11],"-")</f>
        <v>40</v>
      </c>
      <c r="W27" s="137">
        <f ca="1">_xlfn.XLOOKUP(G27&amp;$W$2,BS_CONTROLE[CHAVE],BS_CONTROLE[Quantidade_11],"-")</f>
        <v>82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312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103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>
        <f ca="1">_xlfn.XLOOKUP(G43&amp;$V$2,BS_CONTROLE[CHAVE],BS_CONTROLE[Quantidade_11],"-")</f>
        <v>40</v>
      </c>
      <c r="W43" s="137">
        <f ca="1">_xlfn.XLOOKUP(G43&amp;$W$2,BS_CONTROLE[CHAVE],BS_CONTROLE[Quantidade_11],"-")</f>
        <v>82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700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1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1860</v>
      </c>
      <c r="W49" s="137">
        <f ca="1">_xlfn.XLOOKUP(G49&amp;$W$2,BS_CONTROLE[CHAVE],BS_CONTROLE[Quantidade_11],"-")</f>
        <v>1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101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940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312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23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1750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312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940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23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103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1750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>
        <f ca="1">_xlfn.XLOOKUP(G86&amp;$V$2,BS_CONTROLE[CHAVE],BS_CONTROLE[Quantidade_11],"-")</f>
        <v>40</v>
      </c>
      <c r="W86" s="137">
        <f ca="1">_xlfn.XLOOKUP(G86&amp;$W$2,BS_CONTROLE[CHAVE],BS_CONTROLE[Quantidade_11],"-")</f>
        <v>82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700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1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1860</v>
      </c>
      <c r="W94" s="137">
        <f ca="1">_xlfn.XLOOKUP(G94&amp;$W$2,BS_CONTROLE[CHAVE],BS_CONTROLE[Quantidade_11],"-")</f>
        <v>1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101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312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105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940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23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103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101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1750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0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>
        <f ca="1">_xlfn.XLOOKUP(G132&amp;$V$2,BS_CONTROLE[CHAVE],BS_CONTROLE[Quantidade_11],"-")</f>
        <v>40</v>
      </c>
      <c r="W132" s="137">
        <f ca="1">_xlfn.XLOOKUP(G132&amp;$W$2,BS_CONTROLE[CHAVE],BS_CONTROLE[Quantidade_11],"-")</f>
        <v>82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312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1860</v>
      </c>
      <c r="W140" s="137">
        <f ca="1">_xlfn.XLOOKUP(G140&amp;$W$2,BS_CONTROLE[CHAVE],BS_CONTROLE[Quantidade_11],"-")</f>
        <v>1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312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940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23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105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101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103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1750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0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1860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>
        <f ca="1">_xlfn.XLOOKUP(G174&amp;$V$2,BS_CONTROLE[CHAVE],BS_CONTROLE[Quantidade_11],"-")</f>
        <v>40</v>
      </c>
      <c r="W174" s="137">
        <f ca="1">_xlfn.XLOOKUP(G174&amp;$W$2,BS_CONTROLE[CHAVE],BS_CONTROLE[Quantidade_11],"-")</f>
        <v>82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312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312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105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23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940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0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103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103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1750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700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1860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>
        <f ca="1">_xlfn.XLOOKUP(G224&amp;$W$2,BS_CONTROLE[CHAVE],BS_CONTROLE[Quantidade_11],"-")</f>
        <v>0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23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940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101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103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700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1860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1860</v>
      </c>
      <c r="W252" s="137">
        <f ca="1">_xlfn.XLOOKUP(G252&amp;$W$2,BS_CONTROLE[CHAVE],BS_CONTROLE[Quantidade_11],"-")</f>
        <v>1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52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1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312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23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1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0</v>
      </c>
      <c r="W263" s="137">
        <f ca="1">_xlfn.XLOOKUP(G263&amp;$W$2,BS_CONTROLE[CHAVE],BS_CONTROLE[Quantidade_11],"-")</f>
        <v>940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60</v>
      </c>
      <c r="V267" s="137">
        <f ca="1">_xlfn.XLOOKUP(G267&amp;$V$2,BS_CONTROLE[CHAVE],BS_CONTROLE[Quantidade_11],"-")</f>
        <v>40</v>
      </c>
      <c r="W267" s="137">
        <f ca="1">_xlfn.XLOOKUP(G267&amp;$W$2,BS_CONTROLE[CHAVE],BS_CONTROLE[Quantidade_11],"-")</f>
        <v>82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2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1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>
        <f ca="1">_xlfn.XLOOKUP(G270&amp;$W$2,BS_CONTROLE[CHAVE],BS_CONTROLE[Quantidade_11],"-")</f>
        <v>1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101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103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1750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700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1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1860</v>
      </c>
      <c r="W286" s="137">
        <f ca="1">_xlfn.XLOOKUP(G286&amp;$W$2,BS_CONTROLE[CHAVE],BS_CONTROLE[Quantidade_11],"-")</f>
        <v>1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52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312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23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0</v>
      </c>
      <c r="W296" s="137">
        <f ca="1">_xlfn.XLOOKUP(G296&amp;$W$2,BS_CONTROLE[CHAVE],BS_CONTROLE[Quantidade_11],"-")</f>
        <v>1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940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60</v>
      </c>
      <c r="V300" s="137">
        <f ca="1">_xlfn.XLOOKUP(G300&amp;$V$2,BS_CONTROLE[CHAVE],BS_CONTROLE[Quantidade_11],"-")</f>
        <v>40</v>
      </c>
      <c r="W300" s="137">
        <f ca="1">_xlfn.XLOOKUP(G300&amp;$W$2,BS_CONTROLE[CHAVE],BS_CONTROLE[Quantidade_11],"-")</f>
        <v>82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1</v>
      </c>
      <c r="V301" s="137">
        <f ca="1">_xlfn.XLOOKUP(G301&amp;$V$2,BS_CONTROLE[CHAVE],BS_CONTROLE[Quantidade_11],"-")</f>
        <v>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2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103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103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1750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1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>
        <f ca="1">_xlfn.XLOOKUP(G309&amp;$V$2,BS_CONTROLE[CHAVE],BS_CONTROLE[Quantidade_11],"-")</f>
        <v>0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>
        <f ca="1">_xlfn.XLOOKUP(G315&amp;$V$2,BS_CONTROLE[CHAVE],BS_CONTROLE[Quantidade_11],"-")</f>
        <v>1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700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1860</v>
      </c>
      <c r="W317" s="137">
        <f ca="1">_xlfn.XLOOKUP(G317&amp;$W$2,BS_CONTROLE[CHAVE],BS_CONTROLE[Quantidade_11],"-")</f>
        <v>1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0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>
        <f ca="1">_xlfn.XLOOKUP(G320&amp;$V$2,BS_CONTROLE[CHAVE],BS_CONTROLE[Quantidade_11],"-")</f>
        <v>1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1</v>
      </c>
      <c r="W321" s="137">
        <f ca="1">_xlfn.XLOOKUP(G321&amp;$W$2,BS_CONTROLE[CHAVE],BS_CONTROLE[Quantidade_11],"-")</f>
        <v>1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52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1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>
        <f ca="1">_xlfn.XLOOKUP(G327&amp;$W$2,BS_CONTROLE[CHAVE],BS_CONTROLE[Quantidade_11],"-")</f>
        <v>0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312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0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0</v>
      </c>
      <c r="W332" s="137">
        <f ca="1">_xlfn.XLOOKUP(G332&amp;$W$2,BS_CONTROLE[CHAVE],BS_CONTROLE[Quantidade_11],"-")</f>
        <v>23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0</v>
      </c>
      <c r="W333" s="137">
        <f ca="1">_xlfn.XLOOKUP(G333&amp;$W$2,BS_CONTROLE[CHAVE],BS_CONTROLE[Quantidade_11],"-")</f>
        <v>1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>
        <f ca="1">_xlfn.XLOOKUP(G336&amp;$U$2,BS_CONTROLE[CHAVE],BS_CONTROLE[Quantidade_11],"-")</f>
        <v>105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2</v>
      </c>
      <c r="V338" s="137">
        <f ca="1">_xlfn.XLOOKUP(G338&amp;$V$2,BS_CONTROLE[CHAVE],BS_CONTROLE[Quantidade_11],"-")</f>
        <v>0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1</v>
      </c>
      <c r="V339" s="137">
        <f ca="1">_xlfn.XLOOKUP(G339&amp;$V$2,BS_CONTROLE[CHAVE],BS_CONTROLE[Quantidade_11],"-")</f>
        <v>0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1750</v>
      </c>
      <c r="V340" s="137">
        <f ca="1">_xlfn.XLOOKUP(G340&amp;$V$2,BS_CONTROLE[CHAVE],BS_CONTROLE[Quantidade_11],"-")</f>
        <v>0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>
        <f ca="1">_xlfn.XLOOKUP(G341&amp;$U$2,BS_CONTROLE[CHAVE],BS_CONTROLE[Quantidade_11],"-")</f>
        <v>1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103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101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>
        <f ca="1">_xlfn.XLOOKUP(G348&amp;$U$2,BS_CONTROLE[CHAVE],BS_CONTROLE[Quantidade_11],"-")</f>
        <v>0</v>
      </c>
      <c r="V348" s="137" t="str">
        <f ca="1">_xlfn.XLOOKUP(G348&amp;$V$2,BS_CONTROLE[CHAVE],BS_CONTROLE[Quantidade_11],"-")</f>
        <v>-</v>
      </c>
      <c r="W348" s="137">
        <f ca="1">_xlfn.XLOOKUP(G348&amp;$W$2,BS_CONTROLE[CHAVE],BS_CONTROLE[Quantidade_11],"-")</f>
        <v>0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60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82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1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>
        <f ca="1">_xlfn.XLOOKUP(G353&amp;$U$2,BS_CONTROLE[CHAVE],BS_CONTROLE[Quantidade_11],"-")</f>
        <v>0</v>
      </c>
      <c r="V353" s="137" t="str">
        <f ca="1">_xlfn.XLOOKUP(G353&amp;$V$2,BS_CONTROLE[CHAVE],BS_CONTROLE[Quantidade_11],"-")</f>
        <v>-</v>
      </c>
      <c r="W353" s="137">
        <f ca="1">_xlfn.XLOOKUP(G353&amp;$W$2,BS_CONTROLE[CHAVE],BS_CONTROLE[Quantidade_11],"-")</f>
        <v>0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52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</v>
      </c>
      <c r="V355" s="137">
        <f ca="1">_xlfn.XLOOKUP(G355&amp;$V$2,BS_CONTROLE[CHAVE],BS_CONTROLE[Quantidade_11],"-")</f>
        <v>1860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6.25E-2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>
        <f ca="1">_xlfn.XLOOKUP(G359&amp;$U$2,BS_CONTROLE[CHAVE],BS_CONTROLE[Quantidade_11],"-")</f>
        <v>105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1</v>
      </c>
    </row>
    <row r="362" spans="1:23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>
        <f ca="1">_xlfn.XLOOKUP(G362&amp;$U$2,BS_CONTROLE[CHAVE],BS_CONTROLE[Quantidade_11],"-")</f>
        <v>0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23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940</v>
      </c>
    </row>
    <row r="366" spans="1:23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>
        <f ca="1">_xlfn.XLOOKUP(G369&amp;$U$2,BS_CONTROLE[CHAVE],BS_CONTROLE[Quantidade_11],"-")</f>
        <v>0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>
        <f ca="1">_xlfn.XLOOKUP(G370&amp;$U$2,BS_CONTROLE[CHAVE],BS_CONTROLE[Quantidade_11],"-")</f>
        <v>1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103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103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0</v>
      </c>
    </row>
    <row r="373" spans="1:23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1750</v>
      </c>
      <c r="V373" s="137">
        <f ca="1">_xlfn.XLOOKUP(G373&amp;$V$2,BS_CONTROLE[CHAVE],BS_CONTROLE[Quantidade_11],"-")</f>
        <v>0</v>
      </c>
      <c r="W373" s="137">
        <f ca="1">_xlfn.XLOOKUP(G373&amp;$W$2,BS_CONTROLE[CHAVE],BS_CONTROLE[Quantidade_11],"-")</f>
        <v>0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OPORTUNIDADE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 t="str">
        <f ca="1">_xlfn.XLOOKUP(G375&amp;$U$2,BS_CONTROLE[CHAVE],BS_CONTROLE[Quantidade_11],"-")</f>
        <v>-</v>
      </c>
      <c r="V375" s="137">
        <f ca="1">_xlfn.XLOOKUP(G375&amp;$V$2,BS_CONTROLE[CHAVE],BS_CONTROLE[Quantidade_11],"-")</f>
        <v>0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 t="str">
        <f ca="1">_xlfn.XLOOKUP(G380&amp;$U$2,BS_CONTROLE[CHAVE],BS_CONTROLE[Quantidade_11],"-")</f>
        <v>-</v>
      </c>
      <c r="V380" s="137">
        <f ca="1">_xlfn.XLOOKUP(G380&amp;$V$2,BS_CONTROLE[CHAVE],BS_CONTROLE[Quantidade_11],"-")</f>
        <v>0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0</v>
      </c>
      <c r="V381" s="137">
        <f ca="1">_xlfn.XLOOKUP(G381&amp;$V$2,BS_CONTROLE[CHAVE],BS_CONTROLE[Quantidade_11],"-")</f>
        <v>1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0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Contrato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Bloco Modernização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1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</v>
      </c>
      <c r="V388" s="137">
        <f ca="1">_xlfn.XLOOKUP(G388&amp;$V$2,BS_CONTROLE[CHAVE],BS_CONTROLE[Quantidade_11],"-")</f>
        <v>1860</v>
      </c>
      <c r="W388" s="137">
        <f ca="1">_xlfn.XLOOKUP(G388&amp;$W$2,BS_CONTROLE[CHAVE],BS_CONTROLE[Quantidade_11],"-")</f>
        <v>1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1</v>
      </c>
      <c r="W389" s="137">
        <f ca="1">_xlfn.XLOOKUP(G389&amp;$W$2,BS_CONTROLE[CHAVE],BS_CONTROLE[Quantidade_11],"-")</f>
        <v>1</v>
      </c>
    </row>
    <row r="390" spans="1:23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0</v>
      </c>
      <c r="W390" s="137">
        <f ca="1">_xlfn.XLOOKUP(G390&amp;$W$2,BS_CONTROLE[CHAVE],BS_CONTROLE[Quantidade_11],"-")</f>
        <v>0</v>
      </c>
    </row>
    <row r="391" spans="1:23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>
        <f ca="1">_xlfn.XLOOKUP(G391&amp;$U$2,BS_CONTROLE[CHAVE],BS_CONTROLE[Quantidade_11],"-")</f>
        <v>0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52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60</v>
      </c>
      <c r="V393" s="137">
        <f ca="1">_xlfn.XLOOKUP(G393&amp;$V$2,BS_CONTROLE[CHAVE],BS_CONTROLE[Quantidade_11],"-")</f>
        <v>40</v>
      </c>
      <c r="W393" s="137">
        <f ca="1">_xlfn.XLOOKUP(G393&amp;$W$2,BS_CONTROLE[CHAVE],BS_CONTROLE[Quantidade_11],"-")</f>
        <v>82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Oportunidade</v>
      </c>
      <c r="C396" s="146" t="str">
        <f>IF(SP_SUL!Z399="","*",SP_SUL!Z399)</f>
        <v>*</v>
      </c>
      <c r="D396" s="139" t="str">
        <f>IF(SP_SUL!S399="","*",SP_SUL!S399)</f>
        <v>SP SUL</v>
      </c>
      <c r="E396" s="139" t="str">
        <f>IF(SP_SUL!T399="","*",SP_SUL!T399)</f>
        <v>ZBV-ZRX</v>
      </c>
      <c r="F396" s="145">
        <f>IF(SP_SUL!B399="","*",SP_SUL!B399)</f>
        <v>46094</v>
      </c>
      <c r="G396" s="145" t="str">
        <f>IF(SP_SUL!D399="","*",SP_SUL!D399)</f>
        <v>KLECIO (TP-699)</v>
      </c>
      <c r="H396" s="145" t="str">
        <f>IF(SP_SUL!F399="","*",SP_SUL!F399)</f>
        <v>PDM - SOLDA</v>
      </c>
      <c r="I396" s="145" t="str">
        <f>IF(SP_SUL!H399="","*",SP_SUL!H399)</f>
        <v>-</v>
      </c>
      <c r="J396" s="145" t="str">
        <f>IF(SP_SUL!I399="","*",SP_SUL!I399)</f>
        <v>-</v>
      </c>
      <c r="K396" s="139" t="str">
        <f>IF(SP_SUL!M399="","*",SP_SUL!M399)</f>
        <v>ZTT</v>
      </c>
      <c r="L396" s="139" t="str">
        <f>IF(SP_SUL!N399="","*",SP_SUL!N399)</f>
        <v>ZTTK971</v>
      </c>
      <c r="M396" s="140">
        <f>IF(SP_SUL!J399="","*",SP_SUL!J399)</f>
        <v>70</v>
      </c>
      <c r="N396" s="144">
        <f>IF(SP_SUL!K399="","*",SP_SUL!K399)</f>
        <v>97.3</v>
      </c>
      <c r="O396" s="144" t="str">
        <f>IF(SP_SUL!L399="","*",SP_SUL!L399)</f>
        <v>-</v>
      </c>
      <c r="P396" s="143">
        <f>IF(SP_SUL!O399="","*",SP_SUL!O399)</f>
        <v>0.375</v>
      </c>
      <c r="Q396" s="143">
        <f>IF(SP_SUL!P399="","*",SP_SUL!P399)</f>
        <v>6.25E-2</v>
      </c>
      <c r="R396" s="145" t="str">
        <f>IF(SP_SUL!Q399="","*",CONCATENATE(SP_SUL!Q399," ",SP_SUL!R399))</f>
        <v>1 Nº DE SOLDA</v>
      </c>
      <c r="S396" s="145" t="str">
        <f>IF(SP_SUL!V399="","*",SP_SUL!V399)</f>
        <v>Israel</v>
      </c>
      <c r="T396" s="145" t="str">
        <f>IF(SP_SUL!W399="","*",SP_SUL!W399)</f>
        <v xml:space="preserve">Execução de solda - Condicionado a temperatura </v>
      </c>
      <c r="U396" s="137">
        <f ca="1">_xlfn.XLOOKUP(G396&amp;$U$2,BS_CONTROLE[CHAVE],BS_CONTROLE[Quantidade_11],"-")</f>
        <v>0</v>
      </c>
      <c r="V396" s="137">
        <f ca="1">_xlfn.XLOOKUP(G396&amp;$V$2,BS_CONTROLE[CHAVE],BS_CONTROLE[Quantidade_11],"-")</f>
        <v>0</v>
      </c>
      <c r="W396" s="137">
        <f ca="1">_xlfn.XLOOKUP(G396&amp;$W$2,BS_CONTROLE[CHAVE],BS_CONTROLE[Quantidade_11],"-")</f>
        <v>0</v>
      </c>
    </row>
    <row r="397" spans="1:23" hidden="1">
      <c r="A397" s="146" t="str">
        <f>IF(SP_SUL!Y400="","*",SP_SUL!Y400)</f>
        <v>*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46094</v>
      </c>
      <c r="G397" s="145" t="str">
        <f>IF(SP_SUL!D400="","*",SP_SUL!D400)</f>
        <v>V92</v>
      </c>
      <c r="H397" s="145" t="str">
        <f>IF(SP_SUL!F400="","*",SP_SUL!F400)</f>
        <v>MECANIZAÇÃO - SOCADORA</v>
      </c>
      <c r="I397" s="145" t="str">
        <f>IF(SP_SUL!H400="","*",SP_SUL!H400)</f>
        <v>ZAC-2</v>
      </c>
      <c r="J397" s="145" t="str">
        <f>IF(SP_SUL!I400="","*",SP_SUL!I400)</f>
        <v>ZAC-2</v>
      </c>
      <c r="K397" s="139" t="str">
        <f>IF(SP_SUL!M400="","*",SP_SUL!M400)</f>
        <v>ZAC-ZSW</v>
      </c>
      <c r="L397" s="139" t="str">
        <f>IF(SP_SUL!N400="","*",SP_SUL!N400)</f>
        <v>ZACZSW</v>
      </c>
      <c r="M397" s="140">
        <f>IF(SP_SUL!J400="","*",SP_SUL!J400)</f>
        <v>70</v>
      </c>
      <c r="N397" s="144">
        <f>IF(SP_SUL!K400="","*",SP_SUL!K400)</f>
        <v>82.5</v>
      </c>
      <c r="O397" s="144">
        <f>IF(SP_SUL!L400="","*",SP_SUL!L400)</f>
        <v>83.3</v>
      </c>
      <c r="P397" s="143">
        <f>IF(SP_SUL!O400="","*",SP_SUL!O400)</f>
        <v>0.375</v>
      </c>
      <c r="Q397" s="143">
        <f>IF(SP_SUL!P400="","*",SP_SUL!P400)</f>
        <v>8.3333333333333329E-2</v>
      </c>
      <c r="R397" s="145" t="str">
        <f>IF(SP_SUL!Q400="","*",CONCATENATE(SP_SUL!Q400," ",SP_SUL!R400))</f>
        <v>200 M</v>
      </c>
      <c r="S397" s="145" t="str">
        <f>IF(SP_SUL!V400="","*",SP_SUL!V400)</f>
        <v>Israel</v>
      </c>
      <c r="T397" s="145" t="str">
        <f>IF(SP_SUL!W400="","*",SP_SUL!W400)</f>
        <v>Socaria mecanizada</v>
      </c>
      <c r="U397" s="137">
        <f ca="1">_xlfn.XLOOKUP(G397&amp;$U$2,BS_CONTROLE[CHAVE],BS_CONTROLE[Quantidade_11],"-")</f>
        <v>0</v>
      </c>
      <c r="V397" s="137">
        <f ca="1">_xlfn.XLOOKUP(G397&amp;$V$2,BS_CONTROLE[CHAVE],BS_CONTROLE[Quantidade_11],"-")</f>
        <v>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Contrato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 t="str">
        <f>IF(SP_SUL!B401="","*",SP_SUL!B401)</f>
        <v>*</v>
      </c>
      <c r="G398" s="145" t="str">
        <f>IF(SP_SUL!D401="","*",SP_SUL!D401)</f>
        <v xml:space="preserve">TURMA FIXA VIA </v>
      </c>
      <c r="H398" s="145" t="str">
        <f>IF(SP_SUL!F401="","*",SP_SUL!F401)</f>
        <v>PDM - SUBSTITUIÇÃO - TRILHO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ZBM</v>
      </c>
      <c r="L398" s="139" t="str">
        <f>IF(SP_SUL!N401="","*",SP_SUL!N401)</f>
        <v>ZBMK571</v>
      </c>
      <c r="M398" s="140">
        <f>IF(SP_SUL!J401="","*",SP_SUL!J401)</f>
        <v>68</v>
      </c>
      <c r="N398" s="144">
        <f>IF(SP_SUL!K401="","*",SP_SUL!K401)</f>
        <v>56.2</v>
      </c>
      <c r="O398" s="144" t="str">
        <f>IF(SP_SUL!L401="","*",SP_SUL!L401)</f>
        <v>-</v>
      </c>
      <c r="P398" s="143">
        <f>IF(SP_SUL!O401="","*",SP_SUL!O401)</f>
        <v>0.54166666666666663</v>
      </c>
      <c r="Q398" s="143">
        <f>IF(SP_SUL!P401="","*",SP_SUL!P401)</f>
        <v>0.16666666666666666</v>
      </c>
      <c r="R398" s="145" t="str">
        <f>IF(SP_SUL!Q401="","*",CONCATENATE(SP_SUL!Q401," ",SP_SUL!R401))</f>
        <v>624 M</v>
      </c>
      <c r="S398" s="145" t="str">
        <f>IF(SP_SUL!V401="","*",SP_SUL!V401)</f>
        <v>Israel</v>
      </c>
      <c r="T398" s="145" t="str">
        <f>IF(SP_SUL!W401="","*",SP_SUL!W401)</f>
        <v>Substituição de trilho</v>
      </c>
      <c r="U398" s="137" t="str">
        <f ca="1">_xlfn.XLOOKUP(G398&amp;$U$2,BS_CONTROLE[CHAVE],BS_CONTROLE[Quantidade_11],"-")</f>
        <v>-</v>
      </c>
      <c r="V398" s="137">
        <f ca="1">_xlfn.XLOOKUP(G398&amp;$V$2,BS_CONTROLE[CHAVE],BS_CONTROLE[Quantidade_11],"-")</f>
        <v>312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Oportunidade</v>
      </c>
      <c r="C400" s="146" t="str">
        <f>IF(SP_SUL!Z403="","*",SP_SUL!Z403)</f>
        <v>*</v>
      </c>
      <c r="D400" s="139" t="str">
        <f>IF(SP_SUL!S403="","*",SP_SUL!S403)</f>
        <v>SP SUL</v>
      </c>
      <c r="E400" s="139" t="str">
        <f>IF(SP_SUL!T403="","*",SP_SUL!T403)</f>
        <v>ZBV-ZKE</v>
      </c>
      <c r="F400" s="145">
        <f>IF(SP_SUL!B403="","*",SP_SUL!B403)</f>
        <v>46094</v>
      </c>
      <c r="G400" s="145" t="str">
        <f>IF(SP_SUL!D403="","*",SP_SUL!D403)</f>
        <v>W59</v>
      </c>
      <c r="H400" s="145" t="str">
        <f>IF(SP_SUL!F403="","*",SP_SUL!F403)</f>
        <v>PDM - DESCARGA - DORMENTE</v>
      </c>
      <c r="I400" s="145" t="str">
        <f>IF(SP_SUL!H403="","*",SP_SUL!H403)</f>
        <v>ZYU-1</v>
      </c>
      <c r="J400" s="145" t="str">
        <f>IF(SP_SUL!I403="","*",SP_SUL!I403)</f>
        <v>ZYU-1</v>
      </c>
      <c r="K400" s="139" t="str">
        <f>IF(SP_SUL!M403="","*",SP_SUL!M403)</f>
        <v>ZQB-ZBV</v>
      </c>
      <c r="L400" s="139" t="str">
        <f>IF(SP_SUL!N403="","*",SP_SUL!N403)</f>
        <v>ZQBZBL</v>
      </c>
      <c r="M400" s="140">
        <f>IF(SP_SUL!J403="","*",SP_SUL!J403)</f>
        <v>56</v>
      </c>
      <c r="N400" s="144">
        <f>IF(SP_SUL!K403="","*",SP_SUL!K403)</f>
        <v>253.7</v>
      </c>
      <c r="O400" s="144">
        <f>IF(SP_SUL!L403="","*",SP_SUL!L403)</f>
        <v>252.042</v>
      </c>
      <c r="P400" s="143">
        <f>IF(SP_SUL!O403="","*",SP_SUL!O403)</f>
        <v>0.33333333333333331</v>
      </c>
      <c r="Q400" s="143">
        <f>IF(SP_SUL!P403="","*",SP_SUL!P403)</f>
        <v>6.25E-2</v>
      </c>
      <c r="R400" s="145" t="str">
        <f>IF(SP_SUL!Q403="","*",CONCATENATE(SP_SUL!Q403," ",SP_SUL!R403))</f>
        <v>567 Nº DE DORMENTES</v>
      </c>
      <c r="S400" s="145" t="str">
        <f>IF(SP_SUL!V403="","*",SP_SUL!V403)</f>
        <v>Jonas</v>
      </c>
      <c r="T400" s="145" t="str">
        <f>IF(SP_SUL!W403="","*",SP_SUL!W403)</f>
        <v xml:space="preserve">PDM - Descarga de dormentes </v>
      </c>
      <c r="U400" s="137">
        <f ca="1">_xlfn.XLOOKUP(G400&amp;$U$2,BS_CONTROLE[CHAVE],BS_CONTROLE[Quantidade_11],"-")</f>
        <v>0</v>
      </c>
      <c r="V400" s="137">
        <f ca="1">_xlfn.XLOOKUP(G400&amp;$V$2,BS_CONTROLE[CHAVE],BS_CONTROLE[Quantidade_11],"-")</f>
        <v>0</v>
      </c>
      <c r="W400" s="137">
        <f ca="1">_xlfn.XLOOKUP(G400&amp;$W$2,BS_CONTROLE[CHAVE],BS_CONTROLE[Quantidade_11],"-")</f>
        <v>1</v>
      </c>
    </row>
    <row r="401" spans="1:23" hidden="1">
      <c r="A401" s="146" t="str">
        <f>IF(SP_SUL!Y404="","*",SP_SUL!Y404)</f>
        <v>*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46094</v>
      </c>
      <c r="G401" s="145" t="str">
        <f>IF(SP_SUL!D404="","*",SP_SUL!D404)</f>
        <v>JOSÉ (TP-879)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*</v>
      </c>
      <c r="K401" s="139" t="str">
        <f>IF(SP_SUL!M404="","*",SP_SUL!M404)</f>
        <v>ZQB-ZBV</v>
      </c>
      <c r="L401" s="139" t="str">
        <f>IF(SP_SUL!N404="","*",SP_SUL!N404)</f>
        <v>ZQBZBL</v>
      </c>
      <c r="M401" s="140">
        <f>IF(SP_SUL!J404="","*",SP_SUL!J404)</f>
        <v>56</v>
      </c>
      <c r="N401" s="144">
        <f>IF(SP_SUL!K404="","*",SP_SUL!K404)</f>
        <v>253.7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6.25E-2</v>
      </c>
      <c r="R401" s="145" t="str">
        <f>IF(SP_SUL!Q404="","*",CONCATENATE(SP_SUL!Q404," ",SP_SUL!R404))</f>
        <v>30 Nº DE DORMENTES</v>
      </c>
      <c r="S401" s="145" t="str">
        <f>IF(SP_SUL!V404="","*",SP_SUL!V404)</f>
        <v>Jonas</v>
      </c>
      <c r="T401" s="145" t="str">
        <f>IF(SP_SUL!W404="","*",SP_SUL!W404)</f>
        <v>PDM - Substituição de dormentes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46094</v>
      </c>
      <c r="G402" s="145" t="str">
        <f>IF(SP_SUL!D405="","*",SP_SUL!D405)</f>
        <v>EDSON/NIVALDO (TP-819)</v>
      </c>
      <c r="H402" s="145" t="str">
        <f>IF(SP_SUL!F405="","*",SP_SUL!F405)</f>
        <v>PDM - SUBSTITUIÇÃO - DORMENTE</v>
      </c>
      <c r="I402" s="145" t="str">
        <f>IF(SP_SUL!H405="","*",SP_SUL!H405)</f>
        <v>-</v>
      </c>
      <c r="J402" s="145" t="str">
        <f>IF(SP_SUL!I405="","*",SP_SUL!I405)</f>
        <v>-</v>
      </c>
      <c r="K402" s="139" t="str">
        <f>IF(SP_SUL!M405="","*",SP_SUL!M405)</f>
        <v>ZXI-ZVK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224.45</v>
      </c>
      <c r="O402" s="144" t="str">
        <f>IF(SP_SUL!L405="","*",SP_SUL!L405)</f>
        <v>-</v>
      </c>
      <c r="P402" s="143">
        <f>IF(SP_SUL!O405="","*",SP_SUL!O405)</f>
        <v>0.375</v>
      </c>
      <c r="Q402" s="143">
        <f>IF(SP_SUL!P405="","*",SP_SUL!P405)</f>
        <v>6.25E-2</v>
      </c>
      <c r="R402" s="145" t="str">
        <f>IF(SP_SUL!Q405="","*",CONCATENATE(SP_SUL!Q405," ",SP_SUL!R405))</f>
        <v>40 Nº DE DORMENTES</v>
      </c>
      <c r="S402" s="145" t="str">
        <f>IF(SP_SUL!V405="","*",SP_SUL!V405)</f>
        <v>Jonas</v>
      </c>
      <c r="T402" s="145" t="str">
        <f>IF(SP_SUL!W405="","*",SP_SUL!W405)</f>
        <v>Substituição de dormentes</v>
      </c>
      <c r="U402" s="137">
        <f ca="1">_xlfn.XLOOKUP(G402&amp;$U$2,BS_CONTROLE[CHAVE],BS_CONTROLE[Quantidade_11],"-")</f>
        <v>0</v>
      </c>
      <c r="V402" s="137">
        <f ca="1">_xlfn.XLOOKUP(G402&amp;$V$2,BS_CONTROLE[CHAVE],BS_CONTROLE[Quantidade_11],"-")</f>
        <v>0</v>
      </c>
      <c r="W402" s="137">
        <f ca="1">_xlfn.XLOOKUP(G402&amp;$W$2,BS_CONTROLE[CHAVE],BS_CONTROLE[Quantidade_11],"-")</f>
        <v>0</v>
      </c>
    </row>
    <row r="403" spans="1:23" hidden="1">
      <c r="A403" s="146" t="str">
        <f>IF(SP_SUL!Y406="","*",SP_SUL!Y406)</f>
        <v>*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46094</v>
      </c>
      <c r="G403" s="145" t="str">
        <f>IF(SP_SUL!D406="","*",SP_SUL!D406)</f>
        <v>ROGÉRIO (TP-730)</v>
      </c>
      <c r="H403" s="145" t="str">
        <f>IF(SP_SUL!F406="","*",SP_SUL!F406)</f>
        <v>PDM - SUBSTITUIÇÃO - DORMENTE</v>
      </c>
      <c r="I403" s="145" t="str">
        <f>IF(SP_SUL!H406="","*",SP_SUL!H406)</f>
        <v>ZYU1</v>
      </c>
      <c r="J403" s="145" t="str">
        <f>IF(SP_SUL!I406="","*",SP_SUL!I406)</f>
        <v>-</v>
      </c>
      <c r="K403" s="139" t="str">
        <f>IF(SP_SUL!M406="","*",SP_SUL!M406)</f>
        <v>ZYU</v>
      </c>
      <c r="L403" s="139" t="str">
        <f>IF(SP_SUL!N406="","*",SP_SUL!N406)</f>
        <v>ZYU1</v>
      </c>
      <c r="M403" s="140">
        <f>IF(SP_SUL!J406="","*",SP_SUL!J406)</f>
        <v>49</v>
      </c>
      <c r="N403" s="144">
        <f>IF(SP_SUL!K406="","*",SP_SUL!K406)</f>
        <v>202.45</v>
      </c>
      <c r="O403" s="144" t="str">
        <f>IF(SP_SUL!L406="","*",SP_SUL!L406)</f>
        <v>-</v>
      </c>
      <c r="P403" s="143">
        <f>IF(SP_SUL!O406="","*",SP_SUL!O406)</f>
        <v>0.375</v>
      </c>
      <c r="Q403" s="143">
        <f>IF(SP_SUL!P406="","*",SP_SUL!P406)</f>
        <v>6.25E-2</v>
      </c>
      <c r="R403" s="145" t="str">
        <f>IF(SP_SUL!Q406="","*",CONCATENATE(SP_SUL!Q406," ",SP_SUL!R406))</f>
        <v>40 Nº DE DORMENTES</v>
      </c>
      <c r="S403" s="145" t="str">
        <f>IF(SP_SUL!V406="","*",SP_SUL!V406)</f>
        <v>Jonas</v>
      </c>
      <c r="T403" s="145" t="str">
        <f>IF(SP_SUL!W406="","*",SP_SUL!W406)</f>
        <v>Substituição de dormentes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23</v>
      </c>
    </row>
    <row r="404" spans="1:23" hidden="1">
      <c r="A404" s="146" t="str">
        <f>IF(SP_SUL!Y407="","*",SP_SUL!Y407)</f>
        <v>*</v>
      </c>
      <c r="B404" s="146" t="str">
        <f>IF(SP_SUL!X407="","*",SP_SUL!X407)</f>
        <v>Contrato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46094</v>
      </c>
      <c r="G404" s="145" t="str">
        <f>IF(SP_SUL!D407="","*",SP_SUL!D407)</f>
        <v>V93</v>
      </c>
      <c r="H404" s="145" t="str">
        <f>IF(SP_SUL!F407="","*",SP_SUL!F407)</f>
        <v>MECANIZAÇÃO - SOCADORA</v>
      </c>
      <c r="I404" s="145" t="str">
        <f>IF(SP_SUL!H407="","*",SP_SUL!H407)</f>
        <v>ZXP-2</v>
      </c>
      <c r="J404" s="145" t="str">
        <f>IF(SP_SUL!I407="","*",SP_SUL!I407)</f>
        <v>ZXP-2</v>
      </c>
      <c r="K404" s="139" t="str">
        <f>IF(SP_SUL!M407="","*",SP_SUL!M407)</f>
        <v>ZXP-ZFY</v>
      </c>
      <c r="L404" s="139" t="str">
        <f>IF(SP_SUL!N407="","*",SP_SUL!N407)</f>
        <v>189ZFY/ZXP189</v>
      </c>
      <c r="M404" s="140">
        <f>IF(SP_SUL!J407="","*",SP_SUL!J407)</f>
        <v>56</v>
      </c>
      <c r="N404" s="144">
        <f>IF(SP_SUL!K407="","*",SP_SUL!K407)</f>
        <v>190.07</v>
      </c>
      <c r="O404" s="144">
        <f>IF(SP_SUL!L407="","*",SP_SUL!L407)</f>
        <v>188</v>
      </c>
      <c r="P404" s="143">
        <f>IF(SP_SUL!O407="","*",SP_SUL!O407)</f>
        <v>0.39583333333333331</v>
      </c>
      <c r="Q404" s="143">
        <f>IF(SP_SUL!P407="","*",SP_SUL!P407)</f>
        <v>0.16666666666666666</v>
      </c>
      <c r="R404" s="145" t="str">
        <f>IF(SP_SUL!Q407="","*",CONCATENATE(SP_SUL!Q407," ",SP_SUL!R407))</f>
        <v>400 M</v>
      </c>
      <c r="S404" s="145" t="str">
        <f>IF(SP_SUL!V407="","*",SP_SUL!V407)</f>
        <v>Moises</v>
      </c>
      <c r="T404" s="145" t="str">
        <f>IF(SP_SUL!W407="","*",SP_SUL!W407)</f>
        <v>Socaria mecanizada</v>
      </c>
      <c r="U404" s="137" t="str">
        <f ca="1">_xlfn.XLOOKUP(G404&amp;$U$2,BS_CONTROLE[CHAVE],BS_CONTROLE[Quantidade_11],"-")</f>
        <v>-</v>
      </c>
      <c r="V404" s="137">
        <f ca="1">_xlfn.XLOOKUP(G404&amp;$V$2,BS_CONTROLE[CHAVE],BS_CONTROLE[Quantidade_11],"-")</f>
        <v>0</v>
      </c>
      <c r="W404" s="137">
        <f ca="1">_xlfn.XLOOKUP(G404&amp;$W$2,BS_CONTROLE[CHAVE],BS_CONTROLE[Quantidade_11],"-")</f>
        <v>940</v>
      </c>
    </row>
    <row r="405" spans="1:23" hidden="1">
      <c r="A405" s="146" t="str">
        <f>IF(SP_SUL!Y408="","*",SP_SUL!Y408)</f>
        <v>*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46094</v>
      </c>
      <c r="G405" s="145" t="str">
        <f>IF(SP_SUL!D408="","*",SP_SUL!D408)</f>
        <v>ROBSON (TF-701)</v>
      </c>
      <c r="H405" s="145" t="str">
        <f>IF(SP_SUL!F408="","*",SP_SUL!F408)</f>
        <v>LIMPEZA LASTRO</v>
      </c>
      <c r="I405" s="145" t="str">
        <f>IF(SP_SUL!H408="","*",SP_SUL!H408)</f>
        <v>ZXP189</v>
      </c>
      <c r="J405" s="145" t="str">
        <f>IF(SP_SUL!I408="","*",SP_SUL!I408)</f>
        <v>-</v>
      </c>
      <c r="K405" s="139" t="str">
        <f>IF(SP_SUL!M408="","*",SP_SUL!M408)</f>
        <v>ZXP-ZFY</v>
      </c>
      <c r="L405" s="139" t="str">
        <f>IF(SP_SUL!N408="","*",SP_SUL!N408)</f>
        <v>ZXP189</v>
      </c>
      <c r="M405" s="140">
        <f>IF(SP_SUL!J408="","*",SP_SUL!J408)</f>
        <v>56</v>
      </c>
      <c r="N405" s="144">
        <f>IF(SP_SUL!K408="","*",SP_SUL!K408)</f>
        <v>187.58</v>
      </c>
      <c r="O405" s="144" t="str">
        <f>IF(SP_SUL!L408="","*",SP_SUL!L408)</f>
        <v>-</v>
      </c>
      <c r="P405" s="143">
        <f>IF(SP_SUL!O408="","*",SP_SUL!O408)</f>
        <v>0.41666666666666669</v>
      </c>
      <c r="Q405" s="143">
        <f>IF(SP_SUL!P408="","*",SP_SUL!P408)</f>
        <v>6.25E-2</v>
      </c>
      <c r="R405" s="145" t="str">
        <f>IF(SP_SUL!Q408="","*",CONCATENATE(SP_SUL!Q408," ",SP_SUL!R408))</f>
        <v>15 M</v>
      </c>
      <c r="S405" s="145" t="str">
        <f>IF(SP_SUL!V408="","*",SP_SUL!V408)</f>
        <v>Jonas</v>
      </c>
      <c r="T405" s="145" t="str">
        <f>IF(SP_SUL!W408="","*",SP_SUL!W408)</f>
        <v>Limpeza de lastro</v>
      </c>
      <c r="U405" s="137">
        <f ca="1">_xlfn.XLOOKUP(G405&amp;$U$2,BS_CONTROLE[CHAVE],BS_CONTROLE[Quantidade_11],"-")</f>
        <v>0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Oportunidade</v>
      </c>
      <c r="C406" s="146" t="str">
        <f>IF(SP_SUL!Z409="","*",SP_SUL!Z409)</f>
        <v>*</v>
      </c>
      <c r="D406" s="139" t="str">
        <f>IF(SP_SUL!S409="","*",SP_SUL!S409)</f>
        <v>SP SUL</v>
      </c>
      <c r="E406" s="139" t="str">
        <f>IF(SP_SUL!T409="","*",SP_SUL!T409)</f>
        <v>ZBV-ZKE</v>
      </c>
      <c r="F406" s="145">
        <f>IF(SP_SUL!B409="","*",SP_SUL!B409)</f>
        <v>46094</v>
      </c>
      <c r="G406" s="145" t="str">
        <f>IF(SP_SUL!D409="","*",SP_SUL!D409)</f>
        <v>CARLOS (TP-722)</v>
      </c>
      <c r="H406" s="145" t="str">
        <f>IF(SP_SUL!F409="","*",SP_SUL!F409)</f>
        <v>PDM - SOLDA</v>
      </c>
      <c r="I406" s="145" t="str">
        <f>IF(SP_SUL!H409="","*",SP_SUL!H409)</f>
        <v>-</v>
      </c>
      <c r="J406" s="145" t="str">
        <f>IF(SP_SUL!I409="","*",SP_SUL!I409)</f>
        <v>-</v>
      </c>
      <c r="K406" s="139" t="str">
        <f>IF(SP_SUL!M409="","*",SP_SUL!M409)</f>
        <v>ZPS-ZCX</v>
      </c>
      <c r="L406" s="139" t="str">
        <f>IF(SP_SUL!N409="","*",SP_SUL!N409)</f>
        <v>ZPSZCX</v>
      </c>
      <c r="M406" s="140">
        <f>IF(SP_SUL!J409="","*",SP_SUL!J409)</f>
        <v>56</v>
      </c>
      <c r="N406" s="144">
        <f>IF(SP_SUL!K409="","*",SP_SUL!K409)</f>
        <v>158.4</v>
      </c>
      <c r="O406" s="144" t="str">
        <f>IF(SP_SUL!L409="","*",SP_SUL!L409)</f>
        <v>-</v>
      </c>
      <c r="P406" s="143">
        <f>IF(SP_SUL!O409="","*",SP_SUL!O409)</f>
        <v>0.375</v>
      </c>
      <c r="Q406" s="143">
        <f>IF(SP_SUL!P409="","*",SP_SUL!P409)</f>
        <v>6.25E-2</v>
      </c>
      <c r="R406" s="145" t="str">
        <f>IF(SP_SUL!Q409="","*",CONCATENATE(SP_SUL!Q409," ",SP_SUL!R409))</f>
        <v>1 Nº DE SOLDA</v>
      </c>
      <c r="S406" s="145" t="str">
        <f>IF(SP_SUL!V409="","*",SP_SUL!V409)</f>
        <v>Jonas</v>
      </c>
      <c r="T406" s="145" t="str">
        <f>IF(SP_SUL!W409="","*",SP_SUL!W409)</f>
        <v xml:space="preserve">Execução de solda - Condicionado a temperatura </v>
      </c>
      <c r="U406" s="137">
        <f ca="1">_xlfn.XLOOKUP(G406&amp;$U$2,BS_CONTROLE[CHAVE],BS_CONTROLE[Quantidade_11],"-")</f>
        <v>0</v>
      </c>
      <c r="V406" s="137">
        <f ca="1">_xlfn.XLOOKUP(G406&amp;$V$2,BS_CONTROLE[CHAVE],BS_CONTROLE[Quantidade_11],"-")</f>
        <v>0</v>
      </c>
      <c r="W406" s="137">
        <f ca="1">_xlfn.XLOOKUP(G406&amp;$W$2,BS_CONTROLE[CHAVE],BS_CONTROLE[Quantidade_11],"-")</f>
        <v>0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Oportunidade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46094</v>
      </c>
      <c r="G408" s="145" t="str">
        <f>IF(SP_SUL!D411="","*",SP_SUL!D411)</f>
        <v>E17</v>
      </c>
      <c r="H408" s="145" t="str">
        <f>IF(SP_SUL!F411="","*",SP_SUL!F411)</f>
        <v>CAMINHÃO DE SOLDA</v>
      </c>
      <c r="I408" s="145" t="str">
        <f>IF(SP_SUL!H411="","*",SP_SUL!H411)</f>
        <v>102ZKW-2</v>
      </c>
      <c r="J408" s="145" t="str">
        <f>IF(SP_SUL!I411="","*",SP_SUL!I411)</f>
        <v>102ZKW-2</v>
      </c>
      <c r="K408" s="139" t="str">
        <f>IF(SP_SUL!M411="","*",SP_SUL!M411)</f>
        <v>ZLU</v>
      </c>
      <c r="L408" s="139" t="str">
        <f>IF(SP_SUL!N411="","*",SP_SUL!N411)</f>
        <v>ZLU1052</v>
      </c>
      <c r="M408" s="140">
        <f>IF(SP_SUL!J411="","*",SP_SUL!J411)</f>
        <v>55</v>
      </c>
      <c r="N408" s="144">
        <f>IF(SP_SUL!K411="","*",SP_SUL!K411)</f>
        <v>106.432</v>
      </c>
      <c r="O408" s="144">
        <f>IF(SP_SUL!L411="","*",SP_SUL!L411)</f>
        <v>106.75</v>
      </c>
      <c r="P408" s="143">
        <f>IF(SP_SUL!O411="","*",SP_SUL!O411)</f>
        <v>0.375</v>
      </c>
      <c r="Q408" s="143">
        <f>IF(SP_SUL!P411="","*",SP_SUL!P411)</f>
        <v>0.125</v>
      </c>
      <c r="R408" s="145" t="str">
        <f>IF(SP_SUL!Q411="","*",CONCATENATE(SP_SUL!Q411," ",SP_SUL!R411))</f>
        <v>2 Nº DE SOLDA</v>
      </c>
      <c r="S408" s="145" t="str">
        <f>IF(SP_SUL!V411="","*",SP_SUL!V411)</f>
        <v>Cazonatto</v>
      </c>
      <c r="T408" s="145" t="str">
        <f>IF(SP_SUL!W411="","*",SP_SUL!W411)</f>
        <v>Caminhão de solda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Oportunidade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46094</v>
      </c>
      <c r="G409" s="145" t="str">
        <f>IF(SP_SUL!D412="","*",SP_SUL!D412)</f>
        <v>EDSON (TP-719)</v>
      </c>
      <c r="H409" s="145" t="str">
        <f>IF(SP_SUL!F412="","*",SP_SUL!F412)</f>
        <v>PDM - DESCARGA - DORMENTE</v>
      </c>
      <c r="I409" s="145" t="str">
        <f>IF(SP_SUL!H412="","*",SP_SUL!H412)</f>
        <v>-</v>
      </c>
      <c r="J409" s="145" t="str">
        <f>IF(SP_SUL!I412="","*",SP_SUL!I412)</f>
        <v>-</v>
      </c>
      <c r="K409" s="139" t="str">
        <f>IF(SP_SUL!M412="","*",SP_SUL!M412)</f>
        <v>ZYQ-ZEM</v>
      </c>
      <c r="L409" s="139" t="str">
        <f>IF(SP_SUL!N412="","*",SP_SUL!N412)</f>
        <v>130ZYQ2</v>
      </c>
      <c r="M409" s="140">
        <f>IF(SP_SUL!J412="","*",SP_SUL!J412)</f>
        <v>55</v>
      </c>
      <c r="N409" s="144">
        <f>IF(SP_SUL!K412="","*",SP_SUL!K412)</f>
        <v>129.16999999999999</v>
      </c>
      <c r="O409" s="144">
        <f>IF(SP_SUL!L412="","*",SP_SUL!L412)</f>
        <v>129.61099999999999</v>
      </c>
      <c r="P409" s="143">
        <f>IF(SP_SUL!O412="","*",SP_SUL!O412)</f>
        <v>0.375</v>
      </c>
      <c r="Q409" s="143">
        <f>IF(SP_SUL!P412="","*",SP_SUL!P412)</f>
        <v>8.3333333333333329E-2</v>
      </c>
      <c r="R409" s="145" t="str">
        <f>IF(SP_SUL!Q412="","*",CONCATENATE(SP_SUL!Q412," ",SP_SUL!R412))</f>
        <v>30 Nº DE DORMENTES</v>
      </c>
      <c r="S409" s="145" t="str">
        <f>IF(SP_SUL!V412="","*",SP_SUL!V412)</f>
        <v>Felipe</v>
      </c>
      <c r="T409" s="145" t="str">
        <f>IF(SP_SUL!W412="","*",SP_SUL!W412)</f>
        <v>Substituição de dormentes</v>
      </c>
      <c r="U409" s="137">
        <f ca="1">_xlfn.XLOOKUP(G409&amp;$U$2,BS_CONTROLE[CHAVE],BS_CONTROLE[Quantidade_11],"-")</f>
        <v>103</v>
      </c>
      <c r="V409" s="137">
        <f ca="1">_xlfn.XLOOKUP(G409&amp;$V$2,BS_CONTROLE[CHAVE],BS_CONTROLE[Quantidade_11],"-")</f>
        <v>0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*</v>
      </c>
      <c r="B410" s="146" t="str">
        <f>IF(SP_SUL!X413="","*",SP_SUL!X413)</f>
        <v>Oportunidade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46094</v>
      </c>
      <c r="G410" s="145" t="str">
        <f>IF(SP_SUL!D413="","*",SP_SUL!D413)</f>
        <v>EDSON (TP-719)</v>
      </c>
      <c r="H410" s="145" t="str">
        <f>IF(SP_SUL!F413="","*",SP_SUL!F413)</f>
        <v>PDM - DESCARGA - DORMENTE</v>
      </c>
      <c r="I410" s="145" t="str">
        <f>IF(SP_SUL!H413="","*",SP_SUL!H413)</f>
        <v>-</v>
      </c>
      <c r="J410" s="145" t="str">
        <f>IF(SP_SUL!I413="","*",SP_SUL!I413)</f>
        <v>-</v>
      </c>
      <c r="K410" s="139" t="str">
        <f>IF(SP_SUL!M413="","*",SP_SUL!M413)</f>
        <v>ZYQ-ZEM</v>
      </c>
      <c r="L410" s="139" t="str">
        <f>IF(SP_SUL!N413="","*",SP_SUL!N413)</f>
        <v>ZEM1302</v>
      </c>
      <c r="M410" s="140">
        <f>IF(SP_SUL!J413="","*",SP_SUL!J413)</f>
        <v>55</v>
      </c>
      <c r="N410" s="144">
        <f>IF(SP_SUL!K413="","*",SP_SUL!K413)</f>
        <v>130.6</v>
      </c>
      <c r="O410" s="144">
        <f>IF(SP_SUL!L413="","*",SP_SUL!L413)</f>
        <v>130.80000000000001</v>
      </c>
      <c r="P410" s="143">
        <f>IF(SP_SUL!O413="","*",SP_SUL!O413)</f>
        <v>0.375</v>
      </c>
      <c r="Q410" s="143">
        <f>IF(SP_SUL!P413="","*",SP_SUL!P413)</f>
        <v>8.3333333333333329E-2</v>
      </c>
      <c r="R410" s="145" t="str">
        <f>IF(SP_SUL!Q413="","*",CONCATENATE(SP_SUL!Q413," ",SP_SUL!R413))</f>
        <v>30 Nº DE DORMENTES</v>
      </c>
      <c r="S410" s="145" t="str">
        <f>IF(SP_SUL!V413="","*",SP_SUL!V413)</f>
        <v>Felipe</v>
      </c>
      <c r="T410" s="145" t="str">
        <f>IF(SP_SUL!W413="","*",SP_SUL!W413)</f>
        <v>Substituição de dormentes</v>
      </c>
      <c r="U410" s="137">
        <f ca="1">_xlfn.XLOOKUP(G410&amp;$U$2,BS_CONTROLE[CHAVE],BS_CONTROLE[Quantidade_11],"-")</f>
        <v>103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Oportunidade</v>
      </c>
      <c r="C411" s="146" t="str">
        <f>IF(SP_SUL!Z414="","*",SP_SUL!Z414)</f>
        <v>*</v>
      </c>
      <c r="D411" s="139" t="str">
        <f>IF(SP_SUL!S414="","*",SP_SUL!S414)</f>
        <v>SP SUL</v>
      </c>
      <c r="E411" s="139" t="str">
        <f>IF(SP_SUL!T414="","*",SP_SUL!T414)</f>
        <v>ZKE-ZEV</v>
      </c>
      <c r="F411" s="145">
        <f>IF(SP_SUL!B414="","*",SP_SUL!B414)</f>
        <v>46094</v>
      </c>
      <c r="G411" s="145" t="str">
        <f>IF(SP_SUL!D414="","*",SP_SUL!D414)</f>
        <v>V89</v>
      </c>
      <c r="H411" s="145" t="str">
        <f>IF(SP_SUL!F414="","*",SP_SUL!F414)</f>
        <v>MECANIZAÇÃO - SOCADORA</v>
      </c>
      <c r="I411" s="145" t="str">
        <f>IF(SP_SUL!H414="","*",SP_SUL!H414)</f>
        <v>ZEM130-1</v>
      </c>
      <c r="J411" s="145" t="str">
        <f>IF(SP_SUL!I414="","*",SP_SUL!I414)</f>
        <v>ZEM130-2</v>
      </c>
      <c r="K411" s="139" t="str">
        <f>IF(SP_SUL!M414="","*",SP_SUL!M414)</f>
        <v>ZYQ-ZEM</v>
      </c>
      <c r="L411" s="139" t="str">
        <f>IF(SP_SUL!N414="","*",SP_SUL!N414)</f>
        <v>ZEM1302</v>
      </c>
      <c r="M411" s="140">
        <f>IF(SP_SUL!J414="","*",SP_SUL!J414)</f>
        <v>55</v>
      </c>
      <c r="N411" s="144">
        <f>IF(SP_SUL!K414="","*",SP_SUL!K414)</f>
        <v>132.5</v>
      </c>
      <c r="O411" s="144">
        <f>IF(SP_SUL!L414="","*",SP_SUL!L414)</f>
        <v>131.97999999999999</v>
      </c>
      <c r="P411" s="143">
        <f>IF(SP_SUL!O414="","*",SP_SUL!O414)</f>
        <v>0.38541666666666669</v>
      </c>
      <c r="Q411" s="143">
        <f>IF(SP_SUL!P414="","*",SP_SUL!P414)</f>
        <v>8.3333333333333329E-2</v>
      </c>
      <c r="R411" s="145" t="str">
        <f>IF(SP_SUL!Q414="","*",CONCATENATE(SP_SUL!Q414," ",SP_SUL!R414))</f>
        <v>480 M</v>
      </c>
      <c r="S411" s="145" t="str">
        <f>IF(SP_SUL!V414="","*",SP_SUL!V414)</f>
        <v>Antonioni</v>
      </c>
      <c r="T411" s="145" t="str">
        <f>IF(SP_SUL!W414="","*",SP_SUL!W414)</f>
        <v>Socaria mecanizada</v>
      </c>
      <c r="U411" s="137">
        <f ca="1">_xlfn.XLOOKUP(G411&amp;$U$2,BS_CONTROLE[CHAVE],BS_CONTROLE[Quantidade_11],"-")</f>
        <v>1750</v>
      </c>
      <c r="V411" s="137">
        <f ca="1">_xlfn.XLOOKUP(G411&amp;$V$2,BS_CONTROLE[CHAVE],BS_CONTROLE[Quantidade_11],"-")</f>
        <v>0</v>
      </c>
      <c r="W411" s="137">
        <f ca="1">_xlfn.XLOOKUP(G411&amp;$W$2,BS_CONTROLE[CHAVE],BS_CONTROLE[Quantidade_11],"-")</f>
        <v>0</v>
      </c>
    </row>
    <row r="412" spans="1:23" hidden="1">
      <c r="A412" s="146" t="str">
        <f>IF(SP_SUL!Y415="","*",SP_SUL!Y415)</f>
        <v>*</v>
      </c>
      <c r="B412" s="146" t="str">
        <f>IF(SP_SUL!X415="","*",SP_SUL!X415)</f>
        <v>Oportunidade</v>
      </c>
      <c r="C412" s="146" t="str">
        <f>IF(SP_SUL!Z415="","*",SP_SUL!Z415)</f>
        <v>*</v>
      </c>
      <c r="D412" s="139" t="str">
        <f>IF(SP_SUL!S415="","*",SP_SUL!S415)</f>
        <v>SP SUL</v>
      </c>
      <c r="E412" s="139" t="str">
        <f>IF(SP_SUL!T415="","*",SP_SUL!T415)</f>
        <v>ZKE-ZEV</v>
      </c>
      <c r="F412" s="145">
        <f>IF(SP_SUL!B415="","*",SP_SUL!B415)</f>
        <v>46094</v>
      </c>
      <c r="G412" s="145" t="str">
        <f>IF(SP_SUL!D415="","*",SP_SUL!D415)</f>
        <v>CLEBISON (TP-728)</v>
      </c>
      <c r="H412" s="145" t="str">
        <f>IF(SP_SUL!F415="","*",SP_SUL!F415)</f>
        <v>PDM - SOLDA</v>
      </c>
      <c r="I412" s="145" t="str">
        <f>IF(SP_SUL!H415="","*",SP_SUL!H415)</f>
        <v>-</v>
      </c>
      <c r="J412" s="145" t="str">
        <f>IF(SP_SUL!I415="","*",SP_SUL!I415)</f>
        <v>-</v>
      </c>
      <c r="K412" s="139" t="str">
        <f>IF(SP_SUL!M415="","*",SP_SUL!M415)</f>
        <v>ZYQ-ZEM</v>
      </c>
      <c r="L412" s="139" t="str">
        <f>IF(SP_SUL!N415="","*",SP_SUL!N415)</f>
        <v>ZEM2</v>
      </c>
      <c r="M412" s="140">
        <f>IF(SP_SUL!J415="","*",SP_SUL!J415)</f>
        <v>55</v>
      </c>
      <c r="N412" s="144">
        <f>IF(SP_SUL!K415="","*",SP_SUL!K415)</f>
        <v>134.6</v>
      </c>
      <c r="O412" s="144" t="str">
        <f>IF(SP_SUL!L415="","*",SP_SUL!L415)</f>
        <v>-</v>
      </c>
      <c r="P412" s="143">
        <f>IF(SP_SUL!O415="","*",SP_SUL!O415)</f>
        <v>0.375</v>
      </c>
      <c r="Q412" s="143">
        <f>IF(SP_SUL!P415="","*",SP_SUL!P415)</f>
        <v>8.3333333333333329E-2</v>
      </c>
      <c r="R412" s="145" t="str">
        <f>IF(SP_SUL!Q415="","*",CONCATENATE(SP_SUL!Q415," ",SP_SUL!R415))</f>
        <v>1 Nº DE SOLDA</v>
      </c>
      <c r="S412" s="145" t="str">
        <f>IF(SP_SUL!V415="","*",SP_SUL!V415)</f>
        <v>Felipe</v>
      </c>
      <c r="T412" s="145" t="str">
        <f>IF(SP_SUL!W415="","*",SP_SUL!W415)</f>
        <v xml:space="preserve">Execução de solda - Condicionado a temperatura </v>
      </c>
      <c r="U412" s="137">
        <f ca="1">_xlfn.XLOOKUP(G412&amp;$U$2,BS_CONTROLE[CHAVE],BS_CONTROLE[Quantidade_11],"-")</f>
        <v>2</v>
      </c>
      <c r="V412" s="137">
        <f ca="1">_xlfn.XLOOKUP(G412&amp;$V$2,BS_CONTROLE[CHAVE],BS_CONTROLE[Quantidade_11],"-")</f>
        <v>0</v>
      </c>
      <c r="W412" s="137">
        <f ca="1">_xlfn.XLOOKUP(G412&amp;$W$2,BS_CONTROLE[CHAVE],BS_CONTROLE[Quantidade_11],"-")</f>
        <v>0</v>
      </c>
    </row>
    <row r="413" spans="1:23" hidden="1">
      <c r="A413" s="146" t="str">
        <f>IF(SP_SUL!Y416="","*",SP_SUL!Y416)</f>
        <v>*</v>
      </c>
      <c r="B413" s="146" t="str">
        <f>IF(SP_SUL!X416="","*",SP_SUL!X416)</f>
        <v>Oportunidade</v>
      </c>
      <c r="C413" s="146" t="str">
        <f>IF(SP_SUL!Z416="","*",SP_SUL!Z416)</f>
        <v>*</v>
      </c>
      <c r="D413" s="139" t="str">
        <f>IF(SP_SUL!S416="","*",SP_SUL!S416)</f>
        <v>SP SUL</v>
      </c>
      <c r="E413" s="139" t="str">
        <f>IF(SP_SUL!T416="","*",SP_SUL!T416)</f>
        <v>ZKE-ZEV</v>
      </c>
      <c r="F413" s="145">
        <f>IF(SP_SUL!B416="","*",SP_SUL!B416)</f>
        <v>46094</v>
      </c>
      <c r="G413" s="145" t="str">
        <f>IF(SP_SUL!D416="","*",SP_SUL!D416)</f>
        <v>ISMAEL(TP-726)</v>
      </c>
      <c r="H413" s="145" t="str">
        <f>IF(SP_SUL!F416="","*",SP_SUL!F416)</f>
        <v>PDM - SOLDA</v>
      </c>
      <c r="I413" s="145" t="str">
        <f>IF(SP_SUL!H416="","*",SP_SUL!H416)</f>
        <v>-</v>
      </c>
      <c r="J413" s="145" t="str">
        <f>IF(SP_SUL!I416="","*",SP_SUL!I416)</f>
        <v>-</v>
      </c>
      <c r="K413" s="139" t="str">
        <f>IF(SP_SUL!M416="","*",SP_SUL!M416)</f>
        <v>ZYQ-ZEM</v>
      </c>
      <c r="L413" s="139" t="str">
        <f>IF(SP_SUL!N416="","*",SP_SUL!N416)</f>
        <v>ZEM2</v>
      </c>
      <c r="M413" s="140">
        <f>IF(SP_SUL!J416="","*",SP_SUL!J416)</f>
        <v>55</v>
      </c>
      <c r="N413" s="144">
        <f>IF(SP_SUL!K416="","*",SP_SUL!K416)</f>
        <v>134.6</v>
      </c>
      <c r="O413" s="144" t="str">
        <f>IF(SP_SUL!L416="","*",SP_SUL!L416)</f>
        <v>-</v>
      </c>
      <c r="P413" s="143">
        <f>IF(SP_SUL!O416="","*",SP_SUL!O416)</f>
        <v>0.375</v>
      </c>
      <c r="Q413" s="143">
        <f>IF(SP_SUL!P416="","*",SP_SUL!P416)</f>
        <v>8.3333333333333329E-2</v>
      </c>
      <c r="R413" s="145" t="str">
        <f>IF(SP_SUL!Q416="","*",CONCATENATE(SP_SUL!Q416," ",SP_SUL!R416))</f>
        <v>1 Nº DE SOLDA</v>
      </c>
      <c r="S413" s="145" t="str">
        <f>IF(SP_SUL!V416="","*",SP_SUL!V416)</f>
        <v>Felipe</v>
      </c>
      <c r="T413" s="145" t="str">
        <f>IF(SP_SUL!W416="","*",SP_SUL!W416)</f>
        <v xml:space="preserve">Execução de solda - Condicionado a temperatura </v>
      </c>
      <c r="U413" s="137">
        <f ca="1">_xlfn.XLOOKUP(G413&amp;$U$2,BS_CONTROLE[CHAVE],BS_CONTROLE[Quantidade_11],"-")</f>
        <v>1</v>
      </c>
      <c r="V413" s="137">
        <f ca="1">_xlfn.XLOOKUP(G413&amp;$V$2,BS_CONTROLE[CHAVE],BS_CONTROLE[Quantidade_11],"-")</f>
        <v>0</v>
      </c>
      <c r="W413" s="137">
        <f ca="1">_xlfn.XLOOKUP(G413&amp;$W$2,BS_CONTROLE[CHAVE],BS_CONTROLE[Quantidade_11],"-")</f>
        <v>0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Oportunidade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46094</v>
      </c>
      <c r="G415" s="145" t="str">
        <f>IF(SP_SUL!D418="","*",SP_SUL!D418)</f>
        <v>CAIQUE (TMA-677)</v>
      </c>
      <c r="H415" s="145" t="str">
        <f>IF(SP_SUL!F418="","*",SP_SUL!F418)</f>
        <v>MODERNIZAÇÃO - SOLDA</v>
      </c>
      <c r="I415" s="145" t="str">
        <f>IF(SP_SUL!H418="","*",SP_SUL!H418)</f>
        <v>-</v>
      </c>
      <c r="J415" s="145" t="str">
        <f>IF(SP_SUL!I418="","*",SP_SUL!I418)</f>
        <v>-</v>
      </c>
      <c r="K415" s="139" t="str">
        <f>IF(SP_SUL!M418="","*",SP_SUL!M418)</f>
        <v>ZEJ-ZEV</v>
      </c>
      <c r="L415" s="139">
        <f>IF(SP_SUL!N418="","*",SP_SUL!N418)</f>
        <v>1571561</v>
      </c>
      <c r="M415" s="140">
        <f>IF(SP_SUL!J418="","*",SP_SUL!J418)</f>
        <v>48</v>
      </c>
      <c r="N415" s="144">
        <f>IF(SP_SUL!K418="","*",SP_SUL!K418)</f>
        <v>156.005</v>
      </c>
      <c r="O415" s="144" t="str">
        <f>IF(SP_SUL!L418="","*",SP_SUL!L418)</f>
        <v>-</v>
      </c>
      <c r="P415" s="143">
        <f>IF(SP_SUL!O418="","*",SP_SUL!O418)</f>
        <v>0.35416666666666669</v>
      </c>
      <c r="Q415" s="143">
        <f>IF(SP_SUL!P418="","*",SP_SUL!P418)</f>
        <v>6.25E-2</v>
      </c>
      <c r="R415" s="145" t="str">
        <f>IF(SP_SUL!Q418="","*",CONCATENATE(SP_SUL!Q418," ",SP_SUL!R418))</f>
        <v>1 Nº DE SOLDA</v>
      </c>
      <c r="S415" s="145" t="str">
        <f>IF(SP_SUL!V418="","*",SP_SUL!V418)</f>
        <v>Alisson</v>
      </c>
      <c r="T415" s="145" t="str">
        <f>IF(SP_SUL!W418="","*",SP_SUL!W418)</f>
        <v xml:space="preserve">Execução de solda - Condicionado a temperatura 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Oportunidade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46094</v>
      </c>
      <c r="G416" s="145" t="str">
        <f>IF(SP_SUL!D419="","*",SP_SUL!D419)</f>
        <v>WALTER (TP-810)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*</v>
      </c>
      <c r="K416" s="139" t="str">
        <f>IF(SP_SUL!M419="","*",SP_SUL!M419)</f>
        <v>ZEJ-ZEV</v>
      </c>
      <c r="L416" s="139">
        <f>IF(SP_SUL!N419="","*",SP_SUL!N419)</f>
        <v>1571561</v>
      </c>
      <c r="M416" s="140">
        <f>IF(SP_SUL!J419="","*",SP_SUL!J419)</f>
        <v>48</v>
      </c>
      <c r="N416" s="144">
        <f>IF(SP_SUL!K419="","*",SP_SUL!K419)</f>
        <v>156.34399999999999</v>
      </c>
      <c r="O416" s="144" t="str">
        <f>IF(SP_SUL!L419="","*",SP_SUL!L419)</f>
        <v>-</v>
      </c>
      <c r="P416" s="143">
        <f>IF(SP_SUL!O419="","*",SP_SUL!O419)</f>
        <v>0.35416666666666669</v>
      </c>
      <c r="Q416" s="143">
        <f>IF(SP_SUL!P419="","*",SP_SUL!P419)</f>
        <v>6.25E-2</v>
      </c>
      <c r="R416" s="145" t="str">
        <f>IF(SP_SUL!Q419="","*",CONCATENATE(SP_SUL!Q419," ",SP_SUL!R419))</f>
        <v>1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*</v>
      </c>
      <c r="B417" s="146" t="str">
        <f>IF(SP_SUL!X420="","*",SP_SUL!X420)</f>
        <v>Oportunidade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ZEV-ZPT</v>
      </c>
      <c r="F417" s="145">
        <f>IF(SP_SUL!B420="","*",SP_SUL!B420)</f>
        <v>46094</v>
      </c>
      <c r="G417" s="145" t="str">
        <f>IF(SP_SUL!D420="","*",SP_SUL!D420)</f>
        <v>W97</v>
      </c>
      <c r="H417" s="145" t="str">
        <f>IF(SP_SUL!F420="","*",SP_SUL!F420)</f>
        <v>OUTRAS ATIVIDADES</v>
      </c>
      <c r="I417" s="145" t="str">
        <f>IF(SP_SUL!H420="","*",SP_SUL!H420)</f>
        <v>Z3V3</v>
      </c>
      <c r="J417" s="145" t="str">
        <f>IF(SP_SUL!I420="","*",SP_SUL!I420)</f>
        <v>Z3V3</v>
      </c>
      <c r="K417" s="139" t="str">
        <f>IF(SP_SUL!M420="","*",SP_SUL!M420)</f>
        <v>ZEV</v>
      </c>
      <c r="L417" s="139" t="str">
        <f>IF(SP_SUL!N420="","*",SP_SUL!N420)</f>
        <v>K67ZEV1</v>
      </c>
      <c r="M417" s="140">
        <f>IF(SP_SUL!J420="","*",SP_SUL!J420)</f>
        <v>54</v>
      </c>
      <c r="N417" s="144">
        <f>IF(SP_SUL!K420="","*",SP_SUL!K420)</f>
        <v>66</v>
      </c>
      <c r="O417" s="144" t="str">
        <f>IF(SP_SUL!L420="","*",SP_SUL!L420)</f>
        <v>-</v>
      </c>
      <c r="P417" s="143">
        <f>IF(SP_SUL!O420="","*",SP_SUL!O420)</f>
        <v>0.35416666666666669</v>
      </c>
      <c r="Q417" s="143">
        <f>IF(SP_SUL!P420="","*",SP_SUL!P420)</f>
        <v>4.1666666666666664E-2</v>
      </c>
      <c r="R417" s="145" t="str">
        <f>IF(SP_SUL!Q420="","*",CONCATENATE(SP_SUL!Q420," ",SP_SUL!R420))</f>
        <v>1 BINÁRIO</v>
      </c>
      <c r="S417" s="145" t="str">
        <f>IF(SP_SUL!V420="","*",SP_SUL!V420)</f>
        <v>Alisson</v>
      </c>
      <c r="T417" s="145" t="str">
        <f>IF(SP_SUL!W420="","*",SP_SUL!W420)</f>
        <v xml:space="preserve">Manobra </v>
      </c>
      <c r="U417" s="137" t="str">
        <f ca="1">_xlfn.XLOOKUP(G417&amp;$U$2,BS_CONTROLE[CHAVE],BS_CONTROLE[Quantidade_11],"-")</f>
        <v>-</v>
      </c>
      <c r="V417" s="137">
        <f ca="1">_xlfn.XLOOKUP(G417&amp;$V$2,BS_CONTROLE[CHAVE],BS_CONTROLE[Quantidade_11],"-")</f>
        <v>0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Contrato</v>
      </c>
      <c r="C419" s="146" t="str">
        <f>IF(SP_SUL!Z422="","*",SP_SUL!Z422)</f>
        <v>*</v>
      </c>
      <c r="D419" s="139" t="str">
        <f>IF(SP_SUL!S422="","*",SP_SUL!S422)</f>
        <v>SP SUL</v>
      </c>
      <c r="E419" s="139" t="str">
        <f>IF(SP_SUL!T422="","*",SP_SUL!T422)</f>
        <v>ZEV-ZPT</v>
      </c>
      <c r="F419" s="145">
        <f>IF(SP_SUL!B422="","*",SP_SUL!B422)</f>
        <v>46094</v>
      </c>
      <c r="G419" s="145" t="str">
        <f>IF(SP_SUL!D422="","*",SP_SUL!D422)</f>
        <v>MOD ZEZ</v>
      </c>
      <c r="H419" s="145" t="str">
        <f>IF(SP_SUL!F422="","*",SP_SUL!F422)</f>
        <v>BLOCO</v>
      </c>
      <c r="I419" s="145" t="str">
        <f>IF(SP_SUL!H422="","*",SP_SUL!H422)</f>
        <v>-</v>
      </c>
      <c r="J419" s="145" t="str">
        <f>IF(SP_SUL!I422="","*",SP_SUL!I422)</f>
        <v>-</v>
      </c>
      <c r="K419" s="139" t="str">
        <f>IF(SP_SUL!M422="","*",SP_SUL!M422)</f>
        <v>ZEZ-069</v>
      </c>
      <c r="L419" s="139" t="str">
        <f>IF(SP_SUL!N422="","*",SP_SUL!N422)</f>
        <v>ZEZZXW</v>
      </c>
      <c r="M419" s="140">
        <f>IF(SP_SUL!J422="","*",SP_SUL!J422)</f>
        <v>92</v>
      </c>
      <c r="N419" s="144">
        <f>IF(SP_SUL!K422="","*",SP_SUL!K422)</f>
        <v>75.099999999999994</v>
      </c>
      <c r="O419" s="144">
        <f>IF(SP_SUL!L422="","*",SP_SUL!L422)</f>
        <v>81.900000000000006</v>
      </c>
      <c r="P419" s="143">
        <f>IF(SP_SUL!O422="","*",SP_SUL!O422)</f>
        <v>0.375</v>
      </c>
      <c r="Q419" s="143">
        <f>IF(SP_SUL!P422="","*",SP_SUL!P422)</f>
        <v>0.16666666666666666</v>
      </c>
      <c r="R419" s="145" t="str">
        <f>IF(SP_SUL!Q422="","*",CONCATENATE(SP_SUL!Q422," ",SP_SUL!R422))</f>
        <v>1 BINÁRIO</v>
      </c>
      <c r="S419" s="145" t="str">
        <f>IF(SP_SUL!V422="","*",SP_SUL!V422)</f>
        <v>Augusto</v>
      </c>
      <c r="T419" s="145" t="str">
        <f>IF(SP_SUL!W422="","*",SP_SUL!W422)</f>
        <v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v>
      </c>
      <c r="U419" s="137" t="str">
        <f ca="1">_xlfn.XLOOKUP(G419&amp;$U$2,BS_CONTROLE[CHAVE],BS_CONTROLE[Quantidade_11],"-")</f>
        <v>-</v>
      </c>
      <c r="V419" s="137">
        <f ca="1">_xlfn.XLOOKUP(G419&amp;$V$2,BS_CONTROLE[CHAVE],BS_CONTROLE[Quantidade_11],"-")</f>
        <v>1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46094</v>
      </c>
      <c r="G420" s="145" t="str">
        <f>IF(SP_SUL!D423="","*",SP_SUL!D423)</f>
        <v>W61</v>
      </c>
      <c r="H420" s="145" t="str">
        <f>IF(SP_SUL!F423="","*",SP_SUL!F423)</f>
        <v>RECOLHIMENTO DE DORMENTE</v>
      </c>
      <c r="I420" s="145" t="str">
        <f>IF(SP_SUL!H423="","*",SP_SUL!H423)</f>
        <v>K67ZEV2</v>
      </c>
      <c r="J420" s="145" t="str">
        <f>IF(SP_SUL!I423="","*",SP_SUL!I423)</f>
        <v>K67ZEV2</v>
      </c>
      <c r="K420" s="139" t="str">
        <f>IF(SP_SUL!M423="","*",SP_SUL!M423)</f>
        <v>ZXW-ZEZ</v>
      </c>
      <c r="L420" s="139" t="str">
        <f>IF(SP_SUL!N423="","*",SP_SUL!N423)</f>
        <v>K79ZEZ2</v>
      </c>
      <c r="M420" s="140">
        <f>IF(SP_SUL!J423="","*",SP_SUL!J423)</f>
        <v>92</v>
      </c>
      <c r="N420" s="144">
        <f>IF(SP_SUL!K423="","*",SP_SUL!K423)</f>
        <v>78.5</v>
      </c>
      <c r="O420" s="144">
        <f>IF(SP_SUL!L423="","*",SP_SUL!L423)</f>
        <v>81.3</v>
      </c>
      <c r="P420" s="143">
        <f>IF(SP_SUL!O423="","*",SP_SUL!O423)</f>
        <v>0.32291666666666669</v>
      </c>
      <c r="Q420" s="143">
        <f>IF(SP_SUL!P423="","*",SP_SUL!P423)</f>
        <v>6.9444444444444447E-4</v>
      </c>
      <c r="R420" s="145" t="str">
        <f>IF(SP_SUL!Q423="","*",CONCATENATE(SP_SUL!Q423," ",SP_SUL!R423))</f>
        <v>800 Nº DE PEÇAS</v>
      </c>
      <c r="S420" s="145" t="str">
        <f>IF(SP_SUL!V423="","*",SP_SUL!V423)</f>
        <v>Augusto</v>
      </c>
      <c r="T420" s="145" t="str">
        <f>IF(SP_SUL!W423="","*",SP_SUL!W423)</f>
        <v>Recolhimento de dormentes</v>
      </c>
      <c r="U420" s="137" t="str">
        <f ca="1">_xlfn.XLOOKUP(G420&amp;$U$2,BS_CONTROLE[CHAVE],BS_CONTROLE[Quantidade_11],"-")</f>
        <v>-</v>
      </c>
      <c r="V420" s="137">
        <f ca="1">_xlfn.XLOOKUP(G420&amp;$V$2,BS_CONTROLE[CHAVE],BS_CONTROLE[Quantidade_11],"-")</f>
        <v>700</v>
      </c>
      <c r="W420" s="137">
        <f ca="1">_xlfn.XLOOKUP(G420&amp;$W$2,BS_CONTROLE[CHAVE],BS_CONTROLE[Quantidade_11],"-")</f>
        <v>1</v>
      </c>
    </row>
    <row r="421" spans="1:23" hidden="1">
      <c r="A421" s="146" t="str">
        <f>IF(SP_SUL!Y424="","*",SP_SUL!Y424)</f>
        <v>*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46094</v>
      </c>
      <c r="G421" s="145" t="str">
        <f>IF(SP_SUL!D424="","*",SP_SUL!D424)</f>
        <v>MODERNIZAÇÃO TURMA 2</v>
      </c>
      <c r="H421" s="145" t="str">
        <f>IF(SP_SUL!F424="","*",SP_SUL!F424)</f>
        <v>MODERNIZAÇÃO - SOLDA</v>
      </c>
      <c r="I421" s="145" t="str">
        <f>IF(SP_SUL!H424="","*",SP_SUL!H424)</f>
        <v>-</v>
      </c>
      <c r="J421" s="145" t="str">
        <f>IF(SP_SUL!I424="","*",SP_SUL!I424)</f>
        <v>-</v>
      </c>
      <c r="K421" s="139" t="str">
        <f>IF(SP_SUL!M424="","*",SP_SUL!M424)</f>
        <v>ZXW-ZEZ</v>
      </c>
      <c r="L421" s="139" t="str">
        <f>IF(SP_SUL!N424="","*",SP_SUL!N424)</f>
        <v>ZXWK792</v>
      </c>
      <c r="M421" s="140">
        <f>IF(SP_SUL!J424="","*",SP_SUL!J424)</f>
        <v>92</v>
      </c>
      <c r="N421" s="144">
        <f>IF(SP_SUL!K424="","*",SP_SUL!K424)</f>
        <v>80.040000000000006</v>
      </c>
      <c r="O421" s="144">
        <f>IF(SP_SUL!L424="","*",SP_SUL!L424)</f>
        <v>80.066999999999993</v>
      </c>
      <c r="P421" s="143">
        <f>IF(SP_SUL!O424="","*",SP_SUL!O424)</f>
        <v>0.375</v>
      </c>
      <c r="Q421" s="143">
        <f>IF(SP_SUL!P424="","*",SP_SUL!P424)</f>
        <v>6.9444444444444447E-4</v>
      </c>
      <c r="R421" s="145" t="str">
        <f>IF(SP_SUL!Q424="","*",CONCATENATE(SP_SUL!Q424," ",SP_SUL!R424))</f>
        <v>2 Nº DE SOLDA</v>
      </c>
      <c r="S421" s="145" t="str">
        <f>IF(SP_SUL!V424="","*",SP_SUL!V424)</f>
        <v>Augusto</v>
      </c>
      <c r="T421" s="145" t="str">
        <f>IF(SP_SUL!W424="","*",SP_SUL!W424)</f>
        <v xml:space="preserve">Execução de solda - Condicionado a temperatura </v>
      </c>
      <c r="U421" s="137">
        <f ca="1">_xlfn.XLOOKUP(G421&amp;$U$2,BS_CONTROLE[CHAVE],BS_CONTROLE[Quantidade_11],"-")</f>
        <v>0</v>
      </c>
      <c r="V421" s="137">
        <f ca="1">_xlfn.XLOOKUP(G421&amp;$V$2,BS_CONTROLE[CHAVE],BS_CONTROLE[Quantidade_11],"-")</f>
        <v>1</v>
      </c>
      <c r="W421" s="137">
        <f ca="1">_xlfn.XLOOKUP(G421&amp;$W$2,BS_CONTROLE[CHAVE],BS_CONTROLE[Quantidade_11],"-")</f>
        <v>0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Oportunidade</v>
      </c>
      <c r="C423" s="146" t="str">
        <f>IF(SP_SUL!Z426="","*",SP_SUL!Z426)</f>
        <v>*</v>
      </c>
      <c r="D423" s="139" t="str">
        <f>IF(SP_SUL!S426="","*",SP_SUL!S426)</f>
        <v>SP SUL</v>
      </c>
      <c r="E423" s="139" t="str">
        <f>IF(SP_SUL!T426="","*",SP_SUL!T426)</f>
        <v>ZEV-ZPT</v>
      </c>
      <c r="F423" s="145">
        <f>IF(SP_SUL!B426="","*",SP_SUL!B426)</f>
        <v>46094</v>
      </c>
      <c r="G423" s="145" t="str">
        <f>IF(SP_SUL!D426="","*",SP_SUL!D426)</f>
        <v>W62</v>
      </c>
      <c r="H423" s="145" t="str">
        <f>IF(SP_SUL!F426="","*",SP_SUL!F426)</f>
        <v>DESLOCAMENTO</v>
      </c>
      <c r="I423" s="145" t="str">
        <f>IF(SP_SUL!H426="","*",SP_SUL!H426)</f>
        <v>ZPT105-1</v>
      </c>
      <c r="J423" s="145" t="str">
        <f>IF(SP_SUL!I426="","*",SP_SUL!I426)</f>
        <v>ZDRZPT</v>
      </c>
      <c r="K423" s="139" t="str">
        <f>IF(SP_SUL!M426="","*",SP_SUL!M426)</f>
        <v>ZPT-ZXW</v>
      </c>
      <c r="L423" s="139" t="str">
        <f>IF(SP_SUL!N426="","*",SP_SUL!N426)</f>
        <v>ZPTZXW</v>
      </c>
      <c r="M423" s="140">
        <f>IF(SP_SUL!J426="","*",SP_SUL!J426)</f>
        <v>54</v>
      </c>
      <c r="N423" s="144">
        <f>IF(SP_SUL!K426="","*",SP_SUL!K426)</f>
        <v>83.7</v>
      </c>
      <c r="O423" s="144" t="str">
        <f>IF(SP_SUL!L426="","*",SP_SUL!L426)</f>
        <v>-</v>
      </c>
      <c r="P423" s="143">
        <f>IF(SP_SUL!O426="","*",SP_SUL!O426)</f>
        <v>0.33333333333333331</v>
      </c>
      <c r="Q423" s="143">
        <f>IF(SP_SUL!P426="","*",SP_SUL!P426)</f>
        <v>4.1666666666666664E-2</v>
      </c>
      <c r="R423" s="145" t="str">
        <f>IF(SP_SUL!Q426="","*",CONCATENATE(SP_SUL!Q426," ",SP_SUL!R426))</f>
        <v>1 BINÁRIO</v>
      </c>
      <c r="S423" s="145" t="str">
        <f>IF(SP_SUL!V426="","*",SP_SUL!V426)</f>
        <v>Moises</v>
      </c>
      <c r="T423" s="145" t="str">
        <f>IF(SP_SUL!W426="","*",SP_SUL!W426)</f>
        <v>Deslocamento turmas na serra</v>
      </c>
      <c r="U423" s="137" t="str">
        <f ca="1">_xlfn.XLOOKUP(G423&amp;$U$2,BS_CONTROLE[CHAVE],BS_CONTROLE[Quantidade_11],"-")</f>
        <v>-</v>
      </c>
      <c r="V423" s="137">
        <f ca="1">_xlfn.XLOOKUP(G423&amp;$V$2,BS_CONTROLE[CHAVE],BS_CONTROLE[Quantidade_11],"-")</f>
        <v>1</v>
      </c>
      <c r="W423" s="137">
        <f ca="1">_xlfn.XLOOKUP(G423&amp;$W$2,BS_CONTROLE[CHAVE],BS_CONTROLE[Quantidade_11],"-")</f>
        <v>1</v>
      </c>
    </row>
    <row r="424" spans="1:23" hidden="1">
      <c r="A424" s="146" t="str">
        <f>IF(SP_SUL!Y427="","*",SP_SUL!Y427)</f>
        <v>*</v>
      </c>
      <c r="B424" s="146" t="str">
        <f>IF(SP_SUL!X427="","*",SP_SUL!X427)</f>
        <v>Oportunidade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46094</v>
      </c>
      <c r="G424" s="145" t="str">
        <f>IF(SP_SUL!D427="","*",SP_SUL!D427)</f>
        <v>MOD ZGP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</v>
      </c>
      <c r="L424" s="139" t="str">
        <f>IF(SP_SUL!N427="","*",SP_SUL!N427)</f>
        <v>ZGP2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0.47916666666666669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</v>
      </c>
      <c r="U424" s="137" t="str">
        <f ca="1">_xlfn.XLOOKUP(G424&amp;$U$2,BS_CONTROLE[CHAVE],BS_CONTROLE[Quantidade_11],"-")</f>
        <v>-</v>
      </c>
      <c r="V424" s="137">
        <f ca="1">_xlfn.XLOOKUP(G424&amp;$V$2,BS_CONTROLE[CHAVE],BS_CONTROLE[Quantidade_11],"-")</f>
        <v>1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Oportunidade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46094</v>
      </c>
      <c r="G425" s="145" t="str">
        <f>IF(SP_SUL!D428="","*",SP_SUL!D428)</f>
        <v>V85</v>
      </c>
      <c r="H425" s="145" t="str">
        <f>IF(SP_SUL!F428="","*",SP_SUL!F428)</f>
        <v>MECANIZAÇÃO - SOCADORA</v>
      </c>
      <c r="I425" s="145" t="str">
        <f>IF(SP_SUL!H428="","*",SP_SUL!H428)</f>
        <v>ZDRZPT</v>
      </c>
      <c r="J425" s="145" t="str">
        <f>IF(SP_SUL!I428="","*",SP_SUL!I428)</f>
        <v>ZDRZPT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103.54</v>
      </c>
      <c r="P425" s="143">
        <f>IF(SP_SUL!O428="","*",SP_SUL!O428)</f>
        <v>0.41666666666666669</v>
      </c>
      <c r="Q425" s="143">
        <f>IF(SP_SUL!P428="","*",SP_SUL!P428)</f>
        <v>0</v>
      </c>
      <c r="R425" s="145" t="str">
        <f>IF(SP_SUL!Q428="","*",CONCATENATE(SP_SUL!Q428," ",SP_SUL!R428))</f>
        <v>1310 M</v>
      </c>
      <c r="S425" s="145" t="str">
        <f>IF(SP_SUL!V428="","*",SP_SUL!V428)</f>
        <v>Augusto</v>
      </c>
      <c r="T425" s="145" t="str">
        <f>IF(SP_SUL!W428="","*",SP_SUL!W428)</f>
        <v>Socaria Mecanizada</v>
      </c>
      <c r="U425" s="137">
        <f ca="1">_xlfn.XLOOKUP(G425&amp;$U$2,BS_CONTROLE[CHAVE],BS_CONTROLE[Quantidade_11],"-")</f>
        <v>1</v>
      </c>
      <c r="V425" s="137">
        <f ca="1">_xlfn.XLOOKUP(G425&amp;$V$2,BS_CONTROLE[CHAVE],BS_CONTROLE[Quantidade_11],"-")</f>
        <v>1860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*</v>
      </c>
      <c r="B426" s="146" t="str">
        <f>IF(SP_SUL!X429="","*",SP_SUL!X429)</f>
        <v>Oportunidade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46094</v>
      </c>
      <c r="G426" s="145" t="str">
        <f>IF(SP_SUL!D429="","*",SP_SUL!D429)</f>
        <v>HUELTON (TP-725)</v>
      </c>
      <c r="H426" s="145" t="str">
        <f>IF(SP_SUL!F429="","*",SP_SUL!F429)</f>
        <v>PDM - SOLDA</v>
      </c>
      <c r="I426" s="145" t="str">
        <f>IF(SP_SUL!H429="","*",SP_SUL!H429)</f>
        <v>-</v>
      </c>
      <c r="J426" s="145" t="str">
        <f>IF(SP_SUL!I429="","*",SP_SUL!I429)</f>
        <v>-</v>
      </c>
      <c r="K426" s="139" t="str">
        <f>IF(SP_SUL!M429="","*",SP_SUL!M429)</f>
        <v>ZPT</v>
      </c>
      <c r="L426" s="139" t="str">
        <f>IF(SP_SUL!N429="","*",SP_SUL!N429)</f>
        <v>ZPT2</v>
      </c>
      <c r="M426" s="140">
        <f>IF(SP_SUL!J429="","*",SP_SUL!J429)</f>
        <v>92</v>
      </c>
      <c r="N426" s="144">
        <f>IF(SP_SUL!K429="","*",SP_SUL!K429)</f>
        <v>106.8</v>
      </c>
      <c r="O426" s="144" t="str">
        <f>IF(SP_SUL!L429="","*",SP_SUL!L429)</f>
        <v>-</v>
      </c>
      <c r="P426" s="143">
        <f>IF(SP_SUL!O429="","*",SP_SUL!O429)</f>
        <v>0.375</v>
      </c>
      <c r="Q426" s="143">
        <f>IF(SP_SUL!P429="","*",SP_SUL!P429)</f>
        <v>0.125</v>
      </c>
      <c r="R426" s="145" t="str">
        <f>IF(SP_SUL!Q429="","*",CONCATENATE(SP_SUL!Q429," ",SP_SUL!R429))</f>
        <v>2 Nº DE SOLDA</v>
      </c>
      <c r="S426" s="145" t="str">
        <f>IF(SP_SUL!V429="","*",SP_SUL!V429)</f>
        <v>Moises</v>
      </c>
      <c r="T426" s="145" t="str">
        <f>IF(SP_SUL!W429="","*",SP_SUL!W429)</f>
        <v xml:space="preserve">Execução de solda - Condicionado a temperatura </v>
      </c>
      <c r="U426" s="137" t="str">
        <f ca="1">_xlfn.XLOOKUP(G426&amp;$U$2,BS_CONTROLE[CHAVE],BS_CONTROLE[Quantidade_11],"-")</f>
        <v>-</v>
      </c>
      <c r="V426" s="137">
        <f ca="1">_xlfn.XLOOKUP(G426&amp;$V$2,BS_CONTROLE[CHAVE],BS_CONTROLE[Quantidade_11],"-")</f>
        <v>0</v>
      </c>
      <c r="W426" s="137">
        <f ca="1">_xlfn.XLOOKUP(G426&amp;$W$2,BS_CONTROLE[CHAVE],BS_CONTROLE[Quantidade_11],"-")</f>
        <v>0</v>
      </c>
    </row>
    <row r="427" spans="1:23" hidden="1">
      <c r="A427" s="146" t="str">
        <f>IF(SP_SUL!Y430="","*",SP_SUL!Y430)</f>
        <v>*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46094</v>
      </c>
      <c r="G427" s="145" t="str">
        <f>IF(SP_SUL!D430="","*",SP_SUL!D430)</f>
        <v>EXPANSÃO TURMA 1</v>
      </c>
      <c r="H427" s="145" t="str">
        <f>IF(SP_SUL!F430="","*",SP_SUL!F430)</f>
        <v>EXPANSÃO - SOLDA</v>
      </c>
      <c r="I427" s="145" t="str">
        <f>IF(SP_SUL!H430="","*",SP_SUL!H430)</f>
        <v>-</v>
      </c>
      <c r="J427" s="145" t="str">
        <f>IF(SP_SUL!I430="","*",SP_SUL!I430)</f>
        <v>-</v>
      </c>
      <c r="K427" s="139" t="str">
        <f>IF(SP_SUL!M430="","*",SP_SUL!M430)</f>
        <v>ZGM-109</v>
      </c>
      <c r="L427" s="139">
        <f>IF(SP_SUL!N430="","*",SP_SUL!N430)</f>
        <v>1121111</v>
      </c>
      <c r="M427" s="140">
        <f>IF(SP_SUL!J430="","*",SP_SUL!J430)</f>
        <v>30</v>
      </c>
      <c r="N427" s="144">
        <f>IF(SP_SUL!K430="","*",SP_SUL!K430)</f>
        <v>111.5</v>
      </c>
      <c r="O427" s="144">
        <f>IF(SP_SUL!L430="","*",SP_SUL!L430)</f>
        <v>112</v>
      </c>
      <c r="P427" s="143">
        <f>IF(SP_SUL!O430="","*",SP_SUL!O430)</f>
        <v>0.41666666666666669</v>
      </c>
      <c r="Q427" s="143">
        <f>IF(SP_SUL!P430="","*",SP_SUL!P430)</f>
        <v>6.25E-2</v>
      </c>
      <c r="R427" s="145" t="str">
        <f>IF(SP_SUL!Q430="","*",CONCATENATE(SP_SUL!Q430," ",SP_SUL!R430))</f>
        <v>1 Nº DE SOLDA</v>
      </c>
      <c r="S427" s="145" t="str">
        <f>IF(SP_SUL!V430="","*",SP_SUL!V430)</f>
        <v>Pedro</v>
      </c>
      <c r="T427" s="145" t="str">
        <f>IF(SP_SUL!W430="","*",SP_SUL!W430)</f>
        <v xml:space="preserve">Execução de solda - Condicionado a temperatura 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>
        <f ca="1">_xlfn.XLOOKUP(G427&amp;$W$2,BS_CONTROLE[CHAVE],BS_CONTROLE[Quantidade_11],"-")</f>
        <v>0</v>
      </c>
    </row>
    <row r="428" spans="1:23" hidden="1">
      <c r="A428" s="146" t="str">
        <f>IF(SP_SUL!Y431="","*",SP_SUL!Y431)</f>
        <v>*</v>
      </c>
      <c r="B428" s="146" t="str">
        <f>IF(SP_SUL!X431="","*",SP_SUL!X431)</f>
        <v>Contrato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ZEV-ZPT</v>
      </c>
      <c r="F428" s="145">
        <f>IF(SP_SUL!B431="","*",SP_SUL!B431)</f>
        <v>46094</v>
      </c>
      <c r="G428" s="145" t="str">
        <f>IF(SP_SUL!D431="","*",SP_SUL!D431)</f>
        <v>LEANDRO (TP-727)</v>
      </c>
      <c r="H428" s="145" t="str">
        <f>IF(SP_SUL!F431="","*",SP_SUL!F431)</f>
        <v>PDM - SUBSTITUIÇÃO - DORMENTE</v>
      </c>
      <c r="I428" s="145" t="str">
        <f>IF(SP_SUL!H431="","*",SP_SUL!H431)</f>
        <v>-</v>
      </c>
      <c r="J428" s="145" t="str">
        <f>IF(SP_SUL!I431="","*",SP_SUL!I431)</f>
        <v>-</v>
      </c>
      <c r="K428" s="139" t="str">
        <f>IF(SP_SUL!M431="","*",SP_SUL!M431)</f>
        <v>ZGM-109</v>
      </c>
      <c r="L428" s="139">
        <f>IF(SP_SUL!N431="","*",SP_SUL!N431)</f>
        <v>1131121</v>
      </c>
      <c r="M428" s="140">
        <f>IF(SP_SUL!J431="","*",SP_SUL!J431)</f>
        <v>30</v>
      </c>
      <c r="N428" s="144">
        <f>IF(SP_SUL!K431="","*",SP_SUL!K431)</f>
        <v>113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30 Nº DE DORMENTES</v>
      </c>
      <c r="S428" s="145" t="str">
        <f>IF(SP_SUL!V431="","*",SP_SUL!V431)</f>
        <v>Moises</v>
      </c>
      <c r="T428" s="145" t="str">
        <f>IF(SP_SUL!W431="","*",SP_SUL!W431)</f>
        <v>pDM - Substituição de dormentes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46094</v>
      </c>
      <c r="G429" s="145" t="str">
        <f>IF(SP_SUL!D432="","*",SP_SUL!D432)</f>
        <v>RAFAEL (TP-695)</v>
      </c>
      <c r="H429" s="145" t="str">
        <f>IF(SP_SUL!F432="","*",SP_SUL!F432)</f>
        <v>PDM - AMV - JACARÉ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ZPG-ZZV</v>
      </c>
      <c r="L429" s="139" t="str">
        <f>IF(SP_SUL!N432="","*",SP_SUL!N432)</f>
        <v>ZPGZZV</v>
      </c>
      <c r="M429" s="140">
        <f>IF(SP_SUL!J432="","*",SP_SUL!J432)</f>
        <v>53</v>
      </c>
      <c r="N429" s="144">
        <f>IF(SP_SUL!K432="","*",SP_SUL!K432)</f>
        <v>122.7</v>
      </c>
      <c r="O429" s="144">
        <f>IF(SP_SUL!L432="","*",SP_SUL!L432)</f>
        <v>122.6</v>
      </c>
      <c r="P429" s="143">
        <f>IF(SP_SUL!O432="","*",SP_SUL!O432)</f>
        <v>0.375</v>
      </c>
      <c r="Q429" s="143">
        <f>IF(SP_SUL!P432="","*",SP_SUL!P432)</f>
        <v>0.125</v>
      </c>
      <c r="R429" s="145" t="str">
        <f>IF(SP_SUL!Q432="","*",CONCATENATE(SP_SUL!Q432," ",SP_SUL!R432))</f>
        <v>1 Nº DE PEÇAS</v>
      </c>
      <c r="S429" s="145" t="str">
        <f>IF(SP_SUL!V432="","*",SP_SUL!V432)</f>
        <v>Moises</v>
      </c>
      <c r="T429" s="145" t="str">
        <f>IF(SP_SUL!W432="","*",SP_SUL!W432)</f>
        <v>PDM - Substituição de jacaré</v>
      </c>
      <c r="U429" s="137" t="str">
        <f ca="1">_xlfn.XLOOKUP(G429&amp;$U$2,BS_CONTROLE[CHAVE],BS_CONTROLE[Quantidade_11],"-")</f>
        <v>-</v>
      </c>
      <c r="V429" s="137">
        <f ca="1">_xlfn.XLOOKUP(G429&amp;$V$2,BS_CONTROLE[CHAVE],BS_CONTROLE[Quantidade_11],"-")</f>
        <v>0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>
        <f ca="1">_xlfn.XLOOKUP(G768&amp;$V$2,BS_CONTROLE[CHAVE],BS_CONTROLE[Quantidade_11],"-")</f>
        <v>0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>
        <f ca="1">_xlfn.XLOOKUP(G997&amp;$U$2,BS_CONTROLE[CHAVE],BS_CONTROLE[Quantidade_11],"-")</f>
        <v>0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2026-03-12T19:55:12Z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