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085" documentId="8_{B6337239-1A00-434D-AAD0-422EA1FEB5AE}" xr6:coauthVersionLast="47" xr6:coauthVersionMax="47" xr10:uidLastSave="{780BEFE7-698A-4AFA-B9CE-3C58D2C86B87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0" i="1" l="1" a="1"/>
  <c r="M360" i="1" s="1"/>
  <c r="M349" i="1" a="1"/>
  <c r="M349" i="1" s="1"/>
  <c r="N361" i="1" a="1"/>
  <c r="N361" i="1" s="1"/>
  <c r="M361" i="1" a="1"/>
  <c r="M361" i="1" s="1"/>
  <c r="H361" i="1" a="1"/>
  <c r="H361" i="1" s="1"/>
  <c r="N355" i="1" a="1"/>
  <c r="N355" i="1" s="1"/>
  <c r="M355" i="1" a="1"/>
  <c r="M355" i="1" s="1"/>
  <c r="N353" i="1" a="1"/>
  <c r="N353" i="1" s="1"/>
  <c r="M353" i="1" a="1"/>
  <c r="M353" i="1" s="1"/>
  <c r="N348" i="1" a="1"/>
  <c r="N348" i="1" s="1"/>
  <c r="M348" i="1" a="1"/>
  <c r="M348" i="1" s="1"/>
  <c r="N347" i="1" a="1"/>
  <c r="N347" i="1" s="1"/>
  <c r="M347" i="1" a="1"/>
  <c r="M347" i="1" s="1"/>
  <c r="M341" i="1" a="1"/>
  <c r="M341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K368" i="16"/>
  <c r="L368" i="16"/>
  <c r="R341" i="1"/>
  <c r="R368" i="16" s="1"/>
  <c r="S341" i="1" a="1"/>
  <c r="S341" i="1" s="1"/>
  <c r="D368" i="16" s="1"/>
  <c r="T341" i="1" a="1"/>
  <c r="T341" i="1" s="1"/>
  <c r="E368" i="16" s="1"/>
  <c r="AI341" i="1"/>
  <c r="BB341" i="1" s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R370" i="16" s="1"/>
  <c r="S343" i="1" a="1"/>
  <c r="S343" i="1" s="1"/>
  <c r="D370" i="16" s="1"/>
  <c r="T343" i="1" a="1"/>
  <c r="T343" i="1" s="1"/>
  <c r="E370" i="16" s="1"/>
  <c r="AI343" i="1"/>
  <c r="BB343" i="1" s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K371" i="16"/>
  <c r="L371" i="16"/>
  <c r="R344" i="1"/>
  <c r="R371" i="16" s="1"/>
  <c r="S344" i="1" a="1"/>
  <c r="S344" i="1" s="1"/>
  <c r="D371" i="16" s="1"/>
  <c r="T344" i="1" a="1"/>
  <c r="T344" i="1" s="1"/>
  <c r="E371" i="16" s="1"/>
  <c r="AI344" i="1"/>
  <c r="BB344" i="1" s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R372" i="16" s="1"/>
  <c r="S345" i="1" a="1"/>
  <c r="S345" i="1" s="1"/>
  <c r="D372" i="16" s="1"/>
  <c r="T345" i="1" a="1"/>
  <c r="T345" i="1" s="1"/>
  <c r="E372" i="16" s="1"/>
  <c r="AI345" i="1"/>
  <c r="BB345" i="1" s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K374" i="16"/>
  <c r="L374" i="16"/>
  <c r="R347" i="1"/>
  <c r="R374" i="16" s="1"/>
  <c r="S347" i="1" a="1"/>
  <c r="S347" i="1" s="1"/>
  <c r="D374" i="16" s="1"/>
  <c r="T347" i="1" a="1"/>
  <c r="T347" i="1" s="1"/>
  <c r="E374" i="16" s="1"/>
  <c r="AI347" i="1"/>
  <c r="BB347" i="1" s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K375" i="16"/>
  <c r="L375" i="16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K376" i="16"/>
  <c r="L376" i="16"/>
  <c r="R349" i="1"/>
  <c r="R376" i="16" s="1"/>
  <c r="S349" i="1" a="1"/>
  <c r="S349" i="1" s="1"/>
  <c r="D376" i="16" s="1"/>
  <c r="T349" i="1" a="1"/>
  <c r="T349" i="1" s="1"/>
  <c r="E376" i="16" s="1"/>
  <c r="AI349" i="1"/>
  <c r="BB349" i="1" s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K377" i="16"/>
  <c r="L377" i="16"/>
  <c r="R350" i="1"/>
  <c r="R377" i="16" s="1"/>
  <c r="S350" i="1" a="1"/>
  <c r="S350" i="1" s="1"/>
  <c r="D377" i="16" s="1"/>
  <c r="T350" i="1" a="1"/>
  <c r="T350" i="1" s="1"/>
  <c r="E377" i="16" s="1"/>
  <c r="AI350" i="1"/>
  <c r="BB350" i="1" s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K380" i="16"/>
  <c r="L380" i="16"/>
  <c r="R353" i="1"/>
  <c r="R380" i="16" s="1"/>
  <c r="S353" i="1" a="1"/>
  <c r="S353" i="1" s="1"/>
  <c r="D380" i="16" s="1"/>
  <c r="T353" i="1" a="1"/>
  <c r="T353" i="1" s="1"/>
  <c r="E380" i="16" s="1"/>
  <c r="AI353" i="1"/>
  <c r="BB353" i="1" s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K382" i="16"/>
  <c r="L382" i="16"/>
  <c r="R355" i="1"/>
  <c r="R382" i="16" s="1"/>
  <c r="S355" i="1" a="1"/>
  <c r="S355" i="1" s="1"/>
  <c r="D382" i="16" s="1"/>
  <c r="T355" i="1" a="1"/>
  <c r="T355" i="1" s="1"/>
  <c r="E382" i="16" s="1"/>
  <c r="AI355" i="1"/>
  <c r="BB355" i="1" s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K384" i="16"/>
  <c r="L384" i="16"/>
  <c r="R357" i="1"/>
  <c r="R384" i="16" s="1"/>
  <c r="S357" i="1" a="1"/>
  <c r="S357" i="1" s="1"/>
  <c r="D384" i="16" s="1"/>
  <c r="T357" i="1" a="1"/>
  <c r="T357" i="1" s="1"/>
  <c r="E384" i="16" s="1"/>
  <c r="AI357" i="1"/>
  <c r="BB357" i="1" s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K385" i="16"/>
  <c r="L385" i="16"/>
  <c r="R358" i="1"/>
  <c r="R385" i="16" s="1"/>
  <c r="S358" i="1" a="1"/>
  <c r="S358" i="1" s="1"/>
  <c r="D385" i="16" s="1"/>
  <c r="T358" i="1" a="1"/>
  <c r="T358" i="1" s="1"/>
  <c r="E385" i="16" s="1"/>
  <c r="AI358" i="1"/>
  <c r="BB358" i="1" s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K386" i="16"/>
  <c r="L386" i="16"/>
  <c r="R359" i="1"/>
  <c r="R386" i="16" s="1"/>
  <c r="S359" i="1" a="1"/>
  <c r="S359" i="1" s="1"/>
  <c r="D386" i="16" s="1"/>
  <c r="T359" i="1" a="1"/>
  <c r="T359" i="1" s="1"/>
  <c r="E386" i="16" s="1"/>
  <c r="AI359" i="1"/>
  <c r="BB359" i="1" s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K387" i="16"/>
  <c r="L387" i="16"/>
  <c r="R360" i="1"/>
  <c r="R387" i="16" s="1"/>
  <c r="S360" i="1" a="1"/>
  <c r="S360" i="1" s="1"/>
  <c r="D387" i="16" s="1"/>
  <c r="T360" i="1" a="1"/>
  <c r="T360" i="1" s="1"/>
  <c r="E387" i="16" s="1"/>
  <c r="AI360" i="1"/>
  <c r="BB360" i="1" s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K388" i="16"/>
  <c r="L388" i="16"/>
  <c r="R361" i="1"/>
  <c r="R388" i="16" s="1"/>
  <c r="S361" i="1" a="1"/>
  <c r="S361" i="1" s="1"/>
  <c r="D388" i="16" s="1"/>
  <c r="T361" i="1" a="1"/>
  <c r="T361" i="1" s="1"/>
  <c r="E388" i="16" s="1"/>
  <c r="AI361" i="1"/>
  <c r="BB361" i="1" s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K389" i="16"/>
  <c r="L389" i="16"/>
  <c r="R362" i="1"/>
  <c r="R389" i="16" s="1"/>
  <c r="S362" i="1" a="1"/>
  <c r="S362" i="1" s="1"/>
  <c r="D389" i="16" s="1"/>
  <c r="T362" i="1" a="1"/>
  <c r="T362" i="1" s="1"/>
  <c r="E389" i="16" s="1"/>
  <c r="AI362" i="1"/>
  <c r="BB362" i="1" s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60" i="1" l="1"/>
  <c r="AJ362" i="1"/>
  <c r="AJ350" i="1"/>
  <c r="AJ344" i="1"/>
  <c r="AJ361" i="1"/>
  <c r="AJ359" i="1"/>
  <c r="AJ358" i="1"/>
  <c r="AJ357" i="1"/>
  <c r="AJ355" i="1"/>
  <c r="AJ347" i="1"/>
  <c r="AJ353" i="1"/>
  <c r="AJ349" i="1"/>
  <c r="AJ345" i="1"/>
  <c r="AJ343" i="1"/>
  <c r="AJ341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<sst xmlns="http://schemas.openxmlformats.org/spreadsheetml/2006/main" count="8082" uniqueCount="1984">
  <si>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</si>
  <si>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</si>
  <si>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</si>
  <si>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</si>
  <si>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</si>
  <si>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</si>
  <si>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</si>
  <si>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</si>
  <si>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</si>
  <si>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</si>
  <si>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</si>
  <si>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</si>
  <si>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</si>
  <si>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</si>
  <si>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</si>
  <si>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</si>
  <si>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</si>
  <si>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</si>
  <si>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</si>
  <si>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</si>
  <si>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</si>
  <si>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</si>
  <si>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</si>
  <si>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</si>
  <si>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</si>
  <si>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</si>
  <si>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</si>
  <si>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</si>
  <si>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</si>
  <si>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</si>
  <si>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</si>
  <si>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</si>
  <si>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</si>
  <si>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</si>
  <si>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</si>
  <si>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</si>
  <si>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</si>
  <si>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</si>
  <si>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</si>
  <si>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</si>
  <si>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</si>
  <si>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</si>
  <si>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</si>
  <si>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</si>
  <si>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</si>
  <si>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</si>
  <si>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</si>
  <si>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</si>
  <si>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</si>
  <si>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</si>
  <si>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</si>
  <si>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</si>
  <si>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</si>
  <si>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</si>
  <si>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</si>
  <si>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</si>
  <si>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</si>
  <si>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</si>
  <si>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</si>
  <si>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</si>
  <si>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</si>
  <si>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</si>
  <si>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</si>
  <si>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</si>
  <si>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</si>
  <si>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</si>
  <si>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</si>
  <si>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</si>
  <si>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</si>
  <si>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</si>
  <si>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</si>
  <si>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</si>
  <si>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</si>
  <si>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</si>
  <si>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</si>
  <si>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</si>
  <si>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</si>
  <si>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</si>
  <si>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</si>
  <si>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</si>
  <si>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</si>
  <si>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</si>
  <si>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</si>
  <si>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</si>
  <si>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</si>
  <si>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</si>
  <si>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</si>
  <si>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</si>
  <si>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</si>
  <si>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</si>
  <si>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</si>
  <si>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</si>
  <si>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</si>
  <si>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</si>
  <si>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</si>
  <si>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</si>
  <si>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</si>
  <si>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</si>
  <si>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</si>
  <si>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</si>
  <si>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</si>
  <si>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</si>
  <si>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</si>
  <si>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</si>
  <si>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</si>
  <si>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</si>
  <si>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</si>
  <si>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</si>
  <si>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</si>
  <si>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</si>
  <si>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</si>
  <si>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</si>
  <si>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</si>
  <si>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</si>
  <si>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</si>
  <si>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</si>
  <si>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</si>
  <si>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</si>
  <si>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</si>
  <si>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</si>
  <si>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</si>
  <si>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</si>
  <si>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</si>
  <si>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</si>
  <si>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</si>
  <si>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</si>
  <si>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</si>
  <si>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</si>
  <si>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</si>
  <si>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</si>
  <si>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</si>
  <si>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</si>
  <si>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</si>
  <si>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</si>
  <si>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</si>
  <si>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</si>
  <si>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</si>
  <si>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</si>
  <si>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</si>
  <si>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</si>
  <si>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</si>
  <si>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</si>
  <si>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</si>
  <si>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</si>
  <si>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</si>
  <si>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</si>
  <si>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</si>
  <si>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</si>
  <si>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</si>
  <si>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</si>
  <si>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</si>
  <si>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</si>
  <si>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</si>
  <si>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</si>
  <si>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</si>
  <si>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</si>
  <si>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</si>
  <si>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</si>
  <si>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</si>
  <si>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</si>
  <si>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</si>
  <si>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</si>
  <si>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</si>
  <si>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</si>
  <si>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</si>
  <si>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</si>
  <si>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</si>
  <si>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</si>
  <si>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</si>
  <si>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</si>
  <si>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</si>
  <si>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</si>
  <si>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</si>
  <si>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</si>
  <si>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</si>
  <si>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</si>
  <si>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</si>
  <si>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</si>
  <si>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</si>
  <si>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</si>
  <si>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</si>
  <si>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</si>
  <si>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</si>
  <si>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</si>
  <si>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</si>
  <si>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</si>
  <si>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</si>
  <si>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</si>
  <si>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</si>
  <si>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</si>
  <si>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</si>
  <si>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</si>
  <si>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</si>
  <si>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</si>
  <si>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</si>
  <si>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</si>
  <si>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</si>
  <si>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</si>
  <si>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</si>
  <si>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</si>
  <si>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</si>
  <si>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</si>
  <si>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</si>
  <si>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</si>
  <si>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</si>
  <si>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</si>
  <si>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</si>
  <si>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</si>
  <si>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</si>
  <si>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</si>
  <si>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</si>
  <si>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</si>
  <si>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</si>
  <si>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</si>
  <si>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</si>
  <si>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</si>
  <si>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</si>
  <si>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</si>
  <si>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</si>
  <si>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</si>
  <si>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</si>
  <si>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</si>
  <si>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</si>
  <si>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</si>
  <si>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</si>
  <si>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</si>
  <si>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</si>
  <si>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</si>
  <si>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</si>
  <si>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</si>
  <si>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</si>
  <si>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</si>
  <si>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</si>
  <si>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</si>
  <si>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</si>
  <si>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</si>
  <si>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</si>
  <si>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</si>
  <si>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</si>
  <si>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</si>
  <si>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</si>
  <si>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</si>
  <si>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</si>
  <si>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</si>
  <si>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</si>
  <si>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</si>
  <si>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</si>
  <si>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</si>
  <si>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</si>
  <si>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</si>
  <si>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</si>
  <si>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</si>
  <si>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</si>
  <si>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</si>
  <si>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</si>
  <si>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</si>
  <si>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</si>
  <si>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</si>
  <si>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</si>
  <si>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</si>
  <si>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</si>
  <si>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</si>
  <si>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</si>
  <si>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</si>
  <si>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</si>
  <si>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</si>
  <si>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</si>
  <si>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</si>
  <si>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</si>
  <si>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</si>
  <si>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</si>
  <si>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</si>
  <si>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</si>
  <si>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</si>
  <si>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</si>
  <si>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</si>
  <si>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</si>
  <si>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</si>
  <si>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</si>
  <si>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</si>
  <si>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</si>
  <si>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</si>
  <si>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</si>
  <si>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</si>
  <si>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</si>
  <si>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</si>
  <si>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</si>
  <si>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</si>
  <si>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</si>
  <si>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</si>
  <si>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</si>
  <si>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</si>
  <si>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</si>
  <si>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</si>
  <si>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</si>
  <si>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</si>
  <si>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</si>
  <si>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</si>
  <si>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</si>
  <si>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</si>
  <si>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</si>
  <si>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</si>
  <si>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</si>
  <si>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</si>
  <si>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</si>
  <si>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</si>
  <si>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</si>
  <si>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</si>
  <si>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</si>
  <si>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</si>
  <si>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</si>
  <si>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</si>
  <si>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</si>
  <si>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</si>
  <si>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</si>
  <si>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</si>
  <si>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</si>
  <si>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</si>
  <si>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</si>
  <si>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</si>
  <si>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</si>
  <si>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</si>
  <si>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</si>
  <si>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</si>
  <si>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</si>
  <si>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</si>
  <si>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</si>
  <si>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</si>
  <si>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</si>
  <si>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</si>
  <si>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</si>
  <si>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</si>
  <si>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</si>
  <si>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</si>
  <si>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</si>
  <si>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</si>
  <si>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</si>
  <si>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</si>
  <si>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</si>
  <si>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</si>
  <si>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</si>
  <si>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</si>
  <si>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</si>
  <si>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</si>
  <si>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</si>
  <si>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</si>
  <si>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</si>
  <si>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</si>
  <si>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</si>
  <si>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</si>
  <si>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</si>
  <si>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</si>
  <si>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</si>
  <si>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</si>
  <si>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</si>
  <si>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</si>
  <si>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</si>
  <si>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</si>
  <si>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</si>
  <si>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</si>
  <si>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</si>
  <si>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</si>
  <si>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</si>
  <si>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</si>
  <si>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</si>
  <si>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</si>
  <si>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</si>
  <si>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</si>
  <si>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</si>
  <si>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</si>
  <si>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</si>
  <si>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</si>
  <si>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</si>
  <si>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</si>
  <si>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</si>
  <si>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</si>
  <si>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</si>
  <si>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</si>
  <si>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</si>
  <si>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</si>
  <si>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</si>
  <si>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</si>
  <si>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</si>
  <si>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</si>
  <si>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</si>
  <si>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</si>
  <si>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</si>
  <si>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</si>
  <si>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</si>
  <si>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</si>
  <si>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</si>
  <si>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</si>
  <si>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</si>
  <si>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</si>
  <si>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</si>
  <si>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</si>
  <si>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</si>
  <si>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</si>
  <si>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</si>
  <si>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</si>
  <si>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</si>
  <si>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</si>
  <si>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</si>
  <si>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</si>
  <si>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</si>
  <si>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</si>
  <si>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</si>
  <si>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</si>
  <si>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</si>
  <si>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</si>
  <si>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</si>
  <si>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</si>
  <si>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</si>
  <si>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</si>
  <si>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</si>
  <si>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</si>
  <si>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</si>
  <si>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</si>
  <si>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</si>
  <si>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</si>
  <si>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</si>
  <si>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</si>
  <si>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</si>
  <si>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</si>
  <si>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</si>
  <si>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</si>
  <si>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</si>
  <si>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</si>
  <si>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</si>
  <si>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</si>
  <si>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</si>
  <si>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</si>
  <si>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</si>
  <si>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</si>
  <si>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</si>
  <si>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</si>
  <si>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</si>
  <si>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</si>
  <si>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</si>
  <si>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</si>
  <si>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</si>
  <si>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</si>
  <si>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</si>
  <si>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</si>
  <si>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</si>
  <si>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</si>
  <si>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</si>
  <si>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</si>
  <si>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</si>
  <si>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</si>
  <si>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</si>
  <si>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</si>
  <si>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</si>
  <si>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</si>
  <si>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</si>
  <si>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</si>
  <si>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</si>
  <si>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</si>
  <si>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</si>
  <si>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</si>
  <si>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</si>
  <si>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</si>
  <si>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</si>
  <si>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</si>
  <si>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</si>
  <si>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</si>
  <si>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</si>
  <si>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</si>
  <si>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</si>
  <si>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</si>
  <si>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</si>
  <si>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</si>
  <si>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</si>
  <si>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</si>
  <si>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</si>
  <si>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</si>
  <si>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</si>
  <si>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</si>
  <si>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</si>
  <si>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</si>
  <si>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</si>
  <si>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</si>
  <si>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</si>
  <si>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</si>
  <si>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</si>
  <si>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</si>
  <si>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</si>
  <si>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</si>
  <si>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</si>
  <si>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</si>
  <si>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</si>
  <si>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</si>
  <si>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</si>
  <si>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</si>
  <si>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</si>
  <si>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</si>
  <si>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</si>
  <si>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</si>
  <si>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</si>
  <si>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</si>
  <si>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</si>
  <si>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</si>
  <si>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</si>
  <si>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</si>
  <si>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</si>
  <si>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</si>
  <si>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</si>
  <si>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</si>
  <si>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</si>
  <si>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</si>
  <si>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</si>
  <si>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</si>
  <si>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</si>
  <si>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</si>
  <si>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</si>
  <si>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</si>
  <si>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</si>
  <si>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</si>
  <si>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</si>
  <si>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</si>
  <si>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</si>
  <si>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</si>
  <si>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</si>
  <si>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</si>
  <si>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</si>
  <si>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</si>
  <si>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</si>
  <si>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</si>
  <si>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</si>
  <si>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</si>
  <si>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</si>
  <si>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</si>
  <si>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</si>
  <si>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</si>
  <si>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</si>
  <si>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</si>
  <si>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</si>
  <si>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</si>
  <si>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</si>
  <si>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</si>
  <si>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</si>
  <si>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</si>
  <si>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</si>
  <si>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</si>
  <si>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</si>
  <si>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</si>
  <si>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</si>
  <si>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</si>
  <si>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</si>
  <si>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</si>
  <si>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</si>
  <si>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</si>
  <si>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</si>
  <si>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</si>
  <si>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</si>
  <si>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</si>
  <si>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</si>
  <si>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</si>
  <si>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</si>
  <si>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</si>
  <si>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</si>
  <si>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</si>
  <si>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</si>
  <si>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</si>
  <si>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</si>
  <si>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</si>
  <si>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</si>
  <si>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</si>
  <si>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</si>
  <si>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</si>
  <si>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</si>
  <si>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</si>
  <si>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</si>
  <si>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</si>
  <si>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</si>
  <si>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</si>
  <si>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</si>
  <si>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</si>
  <si>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</si>
  <si>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</si>
  <si>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</si>
  <si>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</si>
  <si>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</si>
  <si>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</si>
  <si>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</si>
  <si>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</si>
  <si>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</si>
  <si>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</si>
  <si>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</si>
  <si>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</si>
  <si>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</si>
  <si>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</si>
  <si>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</si>
  <si>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</si>
  <si>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</si>
  <si>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</si>
  <si>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</si>
  <si>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</si>
  <si>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</si>
  <si>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</si>
  <si>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</si>
  <si>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</si>
  <si>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</si>
  <si>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</si>
  <si>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</si>
  <si>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</si>
  <si>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</si>
  <si>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</si>
  <si>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</si>
  <si>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</si>
  <si>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</si>
  <si>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</si>
  <si>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</si>
  <si>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</si>
  <si>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</si>
  <si>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</si>
  <si>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</si>
  <si>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</si>
  <si>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</si>
  <si>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</si>
  <si>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</si>
  <si>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</si>
  <si>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</si>
  <si>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</si>
  <si>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</si>
  <si>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</si>
  <si>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</si>
  <si>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</si>
  <si>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</si>
  <si>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</si>
  <si>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</si>
  <si>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</si>
  <si>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</si>
  <si>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</si>
  <si>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</si>
  <si>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</si>
  <si>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</si>
  <si>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</si>
  <si>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</si>
  <si>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</si>
  <si>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</si>
  <si>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</si>
  <si>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</si>
  <si>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</si>
  <si>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</si>
  <si>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</si>
  <si>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</si>
  <si>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</si>
  <si>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</si>
  <si>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</si>
  <si>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</si>
  <si>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</si>
  <si>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</si>
  <si>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</si>
  <si>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</si>
  <si>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</si>
  <si>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</si>
  <si>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</si>
  <si>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</si>
  <si>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</si>
  <si>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</si>
  <si>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</si>
  <si>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</si>
  <si>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</si>
  <si>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</si>
  <si>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</si>
  <si>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</si>
  <si>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</si>
  <si>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</si>
  <si>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</si>
  <si>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</si>
  <si>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</si>
  <si>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</si>
  <si>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</si>
  <si>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</si>
  <si>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</si>
  <si>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</si>
  <si>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</si>
  <si>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</si>
  <si>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</si>
  <si>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</si>
  <si>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</si>
  <si>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</si>
  <si>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</si>
  <si>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</si>
  <si>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</si>
  <si>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</si>
  <si>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</si>
  <si>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</si>
  <si>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</si>
  <si>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</si>
  <si>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</si>
  <si>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</si>
  <si>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</si>
  <si>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</si>
  <si>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</si>
  <si>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</si>
  <si>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</si>
  <si>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</si>
  <si>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</si>
  <si>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</si>
  <si>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</si>
  <si>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</si>
  <si>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</si>
  <si>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</si>
  <si>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</si>
  <si>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</si>
  <si>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</si>
  <si>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</si>
  <si>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</si>
  <si>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</si>
  <si>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</si>
  <si>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</si>
  <si>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</si>
  <si>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</si>
  <si>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</si>
  <si>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</si>
  <si>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</si>
  <si>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</si>
  <si>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</si>
  <si>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</si>
  <si>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</si>
  <si>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</si>
  <si>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</si>
  <si>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</si>
  <si>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</si>
  <si>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</si>
  <si>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</si>
  <si>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</si>
  <si>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</si>
  <si>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</si>
  <si>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</si>
  <si>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</si>
  <si>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</si>
  <si>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</si>
  <si>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</si>
  <si>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</si>
  <si>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</si>
  <si>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</si>
  <si>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</si>
  <si>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</si>
  <si>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</si>
  <si>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</si>
  <si>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</si>
  <si>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</si>
  <si>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</si>
  <si>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</si>
  <si>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</si>
  <si>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</si>
  <si>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</si>
  <si>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</si>
  <si>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</si>
  <si>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</si>
  <si>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</si>
  <si>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</si>
  <si>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</si>
  <si>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</si>
  <si>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</si>
  <si>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</si>
  <si>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</si>
  <si>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</si>
  <si>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</si>
  <si>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</si>
  <si>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</si>
  <si>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</si>
  <si>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</si>
  <si>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</si>
  <si>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</si>
  <si>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</si>
  <si>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</si>
  <si>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</si>
  <si>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</si>
  <si>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</si>
  <si>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</si>
  <si>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</si>
  <si>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</si>
  <si>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</si>
  <si>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</si>
  <si>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</si>
  <si>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</si>
  <si>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</si>
  <si>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</si>
  <si>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</si>
  <si>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</si>
  <si>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</si>
  <si>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</si>
  <si>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</si>
  <si>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</si>
  <si>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</si>
  <si>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</si>
  <si>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</si>
  <si>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</si>
  <si>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</si>
  <si>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</si>
  <si>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</si>
  <si>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</si>
  <si>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</si>
  <si>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</si>
  <si>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</si>
  <si>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</si>
  <si>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</si>
  <si>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</si>
  <si>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</si>
  <si>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</si>
  <si>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</si>
  <si>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</si>
  <si>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</si>
  <si>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</si>
  <si>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</si>
  <si>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</si>
  <si>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</si>
  <si>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</si>
  <si>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</si>
  <si>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</si>
  <si>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</si>
  <si>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</si>
  <si>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</si>
  <si>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</si>
  <si>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</si>
  <si>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</si>
  <si>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</si>
  <si>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</si>
  <si>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</si>
  <si>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</si>
  <si>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</si>
  <si>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</si>
  <si>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</si>
  <si>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</si>
  <si>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</si>
  <si>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</si>
  <si>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</si>
  <si>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</si>
  <si>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</si>
  <si>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</si>
  <si>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</si>
  <si>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</si>
  <si>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</si>
  <si>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</si>
  <si>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</si>
  <si>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</si>
  <si>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</si>
  <si>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</si>
  <si>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</si>
  <si>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</si>
  <si>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</si>
  <si>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</si>
  <si>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</si>
  <si>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</si>
  <si>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</si>
  <si>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</si>
  <si>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</si>
  <si>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</si>
  <si>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</si>
  <si>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</si>
  <si>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</si>
  <si>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</si>
  <si>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</si>
  <si>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</si>
  <si>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</si>
  <si>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</si>
  <si>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</si>
  <si>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</si>
  <si>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</si>
  <si>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</si>
  <si>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</si>
  <si>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</si>
  <si>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</si>
  <si>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</si>
  <si>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</si>
  <si>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</si>
  <si>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</si>
  <si>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</si>
  <si>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</si>
  <si>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</si>
  <si>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</si>
  <si>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</si>
  <si>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</si>
  <si>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</si>
  <si>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</si>
  <si>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</si>
  <si>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</si>
  <si>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</si>
  <si>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</si>
  <si>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</si>
  <si>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</si>
  <si>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</si>
  <si>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</si>
  <si>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</si>
  <si>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</si>
  <si>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</si>
  <si>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</si>
  <si>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</si>
  <si>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</si>
  <si>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</si>
  <si>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</si>
  <si>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</si>
  <si>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</si>
  <si>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</si>
  <si>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</si>
  <si>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</si>
  <si>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</si>
  <si>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</si>
  <si>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</si>
  <si>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</si>
  <si>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</si>
  <si>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</si>
  <si>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</si>
  <si>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</si>
  <si>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</si>
  <si>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</si>
  <si>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</si>
  <si>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</si>
  <si>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</si>
  <si>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</si>
  <si>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</si>
  <si>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</si>
  <si>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</si>
  <si>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</si>
  <si>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</si>
  <si>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</si>
  <si>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</si>
  <si>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</si>
  <si>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</si>
  <si>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</si>
  <si>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</si>
  <si>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</si>
  <si>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</si>
  <si>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</si>
  <si>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</si>
  <si>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</si>
  <si>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</si>
  <si>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</si>
  <si>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</si>
  <si>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</si>
  <si>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</si>
  <si>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</si>
  <si>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</si>
  <si>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</si>
  <si>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</si>
  <si>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</si>
  <si>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</si>
  <si>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</si>
  <si>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</si>
  <si>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</si>
  <si>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</si>
  <si>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</si>
  <si>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</si>
  <si>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</si>
  <si>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</si>
  <si>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</si>
  <si>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</si>
  <si>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</si>
  <si>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</si>
  <si>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</si>
  <si>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</si>
  <si>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</si>
  <si>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</si>
  <si>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</si>
  <si>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</si>
  <si>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</si>
  <si>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</si>
  <si>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</si>
  <si>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</si>
  <si>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</si>
  <si>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</si>
  <si>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</si>
  <si>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</si>
  <si>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</si>
  <si>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</si>
  <si>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</si>
  <si>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</si>
  <si>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</si>
  <si>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</si>
  <si>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</si>
  <si>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</si>
  <si>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</si>
  <si>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</si>
  <si>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</si>
  <si>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</si>
  <si>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</si>
  <si>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</si>
  <si>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</si>
  <si>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</si>
  <si>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</si>
  <si>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</si>
  <si>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</si>
  <si>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</si>
  <si>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</si>
  <si>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</si>
  <si>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</si>
  <si>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</si>
  <si>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</si>
  <si>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</si>
  <si>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</si>
  <si>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</si>
  <si>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</si>
  <si>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</si>
  <si>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</si>
  <si>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</si>
  <si>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</si>
  <si>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</si>
  <si>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</si>
  <si>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</si>
  <si>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</si>
  <si>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</si>
  <si>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</si>
  <si>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</si>
  <si>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</si>
  <si>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</si>
  <si>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</si>
  <si>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</si>
  <si>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</si>
  <si>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</si>
  <si>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</si>
  <si>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</si>
  <si>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</si>
  <si>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</si>
  <si>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</si>
  <si>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</si>
  <si>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</si>
  <si>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</si>
  <si>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</si>
  <si>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</si>
  <si>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</si>
  <si>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</si>
  <si>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</si>
  <si>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</si>
  <si>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</si>
  <si>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</si>
  <si>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</si>
  <si>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</si>
  <si>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</si>
  <si>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</si>
  <si>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</si>
  <si>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</si>
  <si>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</si>
  <si>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</si>
  <si>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</si>
  <si>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</si>
  <si>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</si>
  <si>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</si>
  <si>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</si>
  <si>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</si>
  <si>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</si>
  <si>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</si>
  <si>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</si>
  <si>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</si>
  <si>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</si>
  <si>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</si>
  <si>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</si>
  <si>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</si>
  <si>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</si>
  <si>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</si>
  <si>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</si>
  <si>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</si>
  <si>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</si>
  <si>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</si>
  <si>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</si>
  <si>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</si>
  <si>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</si>
  <si>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</si>
  <si>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</si>
  <si>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</si>
  <si>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</si>
  <si>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</si>
  <si>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</si>
  <si>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</si>
  <si>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</si>
  <si>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</si>
  <si>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</si>
  <si>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</si>
  <si>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</si>
  <si>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</si>
  <si>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</si>
  <si>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</si>
  <si>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</si>
  <si>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</si>
  <si>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</si>
  <si>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</si>
  <si>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</si>
  <si>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</si>
  <si>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</si>
  <si>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</si>
  <si>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</si>
  <si>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</si>
  <si>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</si>
  <si>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</si>
  <si>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</si>
  <si>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</si>
  <si>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</si>
  <si>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</si>
  <si>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</si>
  <si>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</si>
  <si>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</si>
  <si>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</si>
  <si>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</si>
  <si>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</si>
  <si>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</si>
  <si>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</si>
  <si>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</si>
  <si>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</si>
  <si>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</si>
  <si>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</si>
  <si>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</si>
  <si>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</si>
  <si>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</si>
  <si>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</si>
  <si>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</si>
  <si>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</si>
  <si>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</si>
  <si>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</si>
  <si>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</si>
  <si>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</si>
  <si>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</si>
  <si>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</si>
  <si>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</si>
  <si>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</si>
  <si>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</si>
  <si>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</si>
  <si>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</si>
  <si>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</si>
  <si>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</si>
  <si>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</si>
  <si>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</si>
  <si>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</si>
  <si>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</si>
  <si>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</si>
  <si>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</si>
  <si>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</si>
  <si>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</si>
  <si>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</si>
  <si>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</si>
  <si>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</si>
  <si>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</si>
  <si>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</si>
  <si>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</si>
  <si>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</si>
  <si>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</si>
  <si>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</si>
  <si>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</si>
  <si>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</si>
  <si>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</si>
  <si>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</si>
  <si>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</si>
  <si>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</si>
  <si>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</si>
  <si>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</si>
  <si>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</si>
  <si>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</si>
  <si>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</si>
  <si>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</si>
  <si>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</si>
  <si>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</si>
  <si>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</si>
  <si>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</si>
  <si>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</si>
  <si>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</si>
  <si>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</si>
  <si>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</si>
  <si>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</si>
  <si>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</si>
  <si>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</si>
  <si>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</si>
  <si>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</si>
  <si>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</si>
  <si>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</si>
  <si>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</si>
  <si>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</si>
  <si>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</si>
  <si>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</si>
  <si>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</si>
  <si>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</si>
  <si>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</si>
  <si>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</si>
  <si>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</si>
  <si>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</si>
  <si>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</si>
  <si>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</si>
  <si>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</si>
  <si>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</si>
  <si>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</si>
  <si>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</si>
  <si>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</si>
  <si>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</si>
  <si>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</si>
  <si>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</si>
  <si>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</si>
  <si>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</si>
  <si>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</si>
  <si>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</si>
  <si>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</si>
  <si>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</si>
  <si>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</si>
  <si>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</si>
  <si>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</si>
  <si>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</si>
  <si>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</si>
  <si>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</si>
  <si>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</si>
  <si>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</si>
  <si>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</si>
  <si>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</si>
  <si>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</si>
  <si>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</si>
  <si>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</si>
  <si>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</si>
  <si>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</si>
  <si>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</si>
  <si>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</si>
  <si>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</si>
  <si>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</si>
  <si>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</si>
  <si>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</si>
  <si>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</si>
  <si>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</si>
  <si>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</si>
  <si>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</si>
  <si>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</si>
  <si>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</si>
  <si>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</si>
  <si>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</si>
  <si>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</si>
  <si>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</si>
  <si>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</si>
  <si>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</si>
  <si>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</si>
  <si>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</si>
  <si>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</si>
  <si>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</si>
  <si>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</si>
  <si>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</si>
  <si>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</si>
  <si>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</si>
  <si>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</si>
  <si>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</si>
  <si>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</si>
  <si>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</si>
  <si>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</si>
  <si>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</si>
  <si>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</si>
  <si>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</si>
  <si>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</si>
  <si>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</si>
  <si>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</si>
  <si>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</si>
  <si>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</si>
  <si>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</si>
  <si>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</si>
  <si>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</si>
  <si>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</si>
  <si>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</si>
  <si>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</si>
  <si>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</si>
  <si>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</si>
  <si>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</si>
  <si>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</si>
  <si>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</si>
  <si>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</si>
  <si>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</si>
  <si>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</si>
  <si>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</si>
  <si>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</si>
  <si>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</si>
  <si>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</si>
  <si>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</si>
  <si>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</si>
  <si>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</si>
  <si>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</si>
  <si>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</si>
  <si>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</si>
  <si>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</si>
  <si>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</si>
  <si>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</si>
  <si>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</si>
  <si>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</si>
  <si>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</si>
  <si>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</si>
  <si>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</si>
  <si>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</si>
  <si>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</si>
  <si>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</si>
  <si>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</si>
  <si>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</si>
  <si>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</si>
  <si>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</si>
  <si>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</si>
  <si>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</si>
  <si>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</si>
  <si>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</si>
  <si>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</si>
  <si>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</si>
  <si>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</si>
  <si>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</si>
  <si>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</si>
  <si>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</si>
  <si>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</si>
  <si>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</si>
  <si>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</si>
  <si>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</si>
  <si>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</si>
  <si>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</si>
  <si>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</si>
  <si>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</si>
  <si>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</si>
  <si>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</si>
  <si>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</si>
  <si>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</si>
  <si>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</si>
  <si>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</si>
  <si>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</si>
  <si>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</si>
  <si>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</si>
  <si>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</si>
  <si>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</si>
  <si>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</si>
  <si>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</si>
  <si>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</si>
  <si>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</si>
  <si>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</si>
  <si>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</si>
  <si>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</si>
  <si>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</si>
  <si>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</si>
  <si>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</si>
  <si>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</si>
  <si>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</si>
  <si>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</si>
  <si>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</si>
  <si>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</si>
  <si>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</si>
  <si>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</si>
  <si>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</si>
  <si>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</si>
  <si>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</si>
  <si>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</si>
  <si>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</si>
  <si>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</si>
  <si>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</si>
  <si>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</si>
  <si>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</si>
  <si>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</si>
  <si>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</si>
  <si>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</si>
  <si>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</si>
  <si>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</si>
  <si>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</si>
  <si>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</si>
  <si>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</si>
  <si>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</si>
  <si>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</si>
  <si>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</si>
  <si>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</si>
  <si>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</si>
  <si>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</si>
  <si>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</si>
  <si>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</si>
  <si>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</si>
  <si>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</si>
  <si>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</si>
  <si>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</si>
  <si>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</si>
  <si>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</si>
  <si>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</si>
  <si>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</si>
  <si>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</si>
  <si>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</si>
  <si>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</si>
  <si>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</si>
  <si>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</si>
  <si>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</si>
  <si>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</si>
  <si>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</si>
  <si>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</si>
  <si>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</si>
  <si>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</si>
  <si>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</si>
  <si>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</si>
  <si>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</si>
  <si>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</si>
  <si>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</si>
  <si>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</si>
  <si>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</si>
  <si>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</si>
  <si>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</si>
  <si>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</si>
  <si>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</si>
  <si>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</si>
  <si>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</si>
  <si>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</si>
  <si>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</si>
  <si>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</si>
  <si>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</si>
  <si>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</si>
  <si>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</si>
  <si>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</si>
  <si>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</si>
  <si>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</si>
  <si>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</si>
  <si>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</si>
  <si>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</si>
  <si>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</si>
  <si>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</si>
  <si>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</si>
  <si>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</si>
  <si>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</si>
  <si>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</si>
  <si>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</si>
  <si>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</si>
  <si>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</si>
  <si>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</si>
  <si>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</si>
  <si>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</si>
  <si>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</si>
  <si>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</si>
  <si>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</si>
  <si>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</si>
  <si>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</si>
  <si>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</si>
  <si>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</si>
  <si>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</si>
  <si>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</si>
  <si>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</si>
  <si>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</si>
  <si>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</si>
  <si>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</si>
  <si>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</si>
  <si>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</si>
  <si>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</si>
  <si>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</si>
  <si>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</si>
  <si>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</si>
  <si>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</si>
  <si>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</si>
  <si>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</si>
  <si>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</si>
  <si>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</si>
  <si>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</si>
  <si>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</si>
  <si>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</si>
  <si>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</si>
  <si>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</si>
  <si>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</si>
  <si>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</si>
  <si>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</si>
  <si>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</si>
  <si>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</si>
  <si>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</si>
  <si>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</si>
  <si>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</si>
  <si>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</si>
  <si>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</si>
  <si>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</si>
  <si>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</si>
  <si>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</si>
  <si>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</si>
  <si>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</si>
  <si>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</si>
  <si>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</si>
  <si>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</si>
  <si>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</si>
  <si>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</si>
  <si>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</si>
  <si>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</si>
  <si>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</si>
  <si>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</si>
  <si>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</si>
  <si>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</si>
  <si>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</si>
  <si>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</si>
  <si>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</si>
  <si>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</si>
  <si>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</si>
  <si>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</si>
  <si>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</si>
  <si>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</si>
  <si>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</si>
  <si>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</si>
  <si>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</si>
  <si>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</si>
  <si>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</si>
  <si>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</si>
  <si>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</si>
  <si>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</si>
  <si>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</si>
  <si>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</si>
  <si>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</si>
  <si>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</si>
  <si>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</si>
  <si>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</si>
  <si>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</si>
  <si>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</si>
  <si>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</si>
  <si>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</si>
  <si>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</si>
  <si>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</si>
  <si>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</si>
  <si>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</si>
  <si>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</si>
  <si>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</si>
  <si>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</si>
  <si>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</si>
  <si>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</si>
  <si>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</si>
  <si>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</si>
  <si>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</si>
  <si>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</si>
  <si>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</si>
  <si>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</si>
  <si>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</si>
  <si>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</si>
  <si>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</si>
  <si>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</si>
  <si>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</si>
  <si>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</si>
  <si>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</si>
  <si>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</si>
  <si>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</si>
  <si>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</si>
  <si>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</si>
  <si>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</si>
  <si>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</si>
  <si>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</si>
  <si>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</si>
  <si>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</si>
  <si>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</si>
  <si>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</si>
  <si>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</si>
  <si>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</si>
  <si>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</si>
  <si>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</si>
  <si>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</si>
  <si>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</si>
  <si>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</si>
  <si>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</si>
  <si>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</si>
  <si>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</si>
  <si>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</si>
  <si>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</si>
  <si>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</si>
  <si>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</si>
  <si>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</si>
  <si>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</si>
  <si>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</si>
  <si>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</si>
  <si>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</si>
  <si>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</si>
  <si>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</si>
  <si>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</si>
  <si>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</si>
  <si>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</si>
  <si>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</si>
  <si>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</si>
  <si>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</si>
  <si>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</si>
  <si>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</si>
  <si>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</si>
  <si>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</si>
  <si>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</si>
  <si>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</si>
  <si>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</si>
  <si>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</si>
  <si>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</si>
  <si>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</si>
  <si>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</si>
  <si>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</si>
  <si>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</si>
  <si>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</si>
  <si>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</si>
  <si>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</si>
  <si>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</si>
  <si>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</si>
  <si>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</si>
  <si>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</si>
  <si>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</si>
  <si>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</si>
  <si>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</si>
  <si>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</si>
  <si>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</si>
  <si>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</si>
  <si>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</si>
  <si>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</si>
  <si>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</si>
  <si>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</si>
  <si>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</si>
  <si>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</si>
  <si>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</si>
  <si>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</si>
  <si>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</si>
  <si>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</si>
  <si>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</si>
  <si>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</si>
  <si>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</si>
  <si>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</si>
  <si>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</si>
  <si>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</si>
  <si>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</si>
  <si>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</si>
  <si>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</si>
  <si>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</si>
  <si>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</si>
  <si>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</si>
  <si>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</si>
  <si>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</si>
  <si>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</si>
  <si>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</si>
  <si>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</si>
  <si>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</si>
  <si>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</si>
  <si>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</si>
  <si>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</si>
  <si>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</si>
  <si>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</si>
  <si>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</si>
  <si>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</si>
  <si>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</si>
  <si>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</si>
  <si>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</si>
  <si>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</si>
  <si>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</si>
  <si>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</si>
  <si>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</si>
  <si>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</si>
  <si>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</si>
  <si>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</si>
  <si>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</si>
  <si>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</si>
  <si>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</si>
  <si>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</si>
  <si>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</si>
  <si>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</si>
  <si>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</si>
  <si>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</si>
  <si>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</si>
  <si>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</si>
  <si>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</si>
  <si>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</si>
  <si>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</si>
  <si>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</si>
  <si>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</si>
  <si>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</si>
  <si>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</si>
  <si>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</si>
  <si>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</si>
  <si>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</si>
  <si>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</si>
  <si>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</si>
  <si>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</si>
  <si>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</si>
  <si>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</si>
  <si>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</si>
  <si>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</si>
  <si>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</si>
  <si>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</si>
  <si>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</si>
  <si>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</si>
  <si>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</si>
  <si>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</si>
  <si>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</si>
  <si>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</si>
  <si>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</si>
  <si>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</si>
  <si>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</si>
  <si>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</si>
  <si>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</si>
  <si>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</si>
  <si>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</si>
  <si>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</si>
  <si>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</si>
  <si>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</si>
  <si>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</si>
  <si>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</si>
  <si>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</si>
  <si>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</si>
  <si>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</si>
  <si>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</si>
  <si>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</si>
  <si>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</si>
  <si>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</si>
  <si>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</si>
  <si>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</si>
  <si>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</si>
  <si>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</si>
  <si>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</si>
  <si>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</si>
  <si>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</si>
  <si>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</si>
  <si>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</si>
  <si>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</si>
  <si>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</si>
  <si>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</si>
  <si>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</si>
  <si>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</si>
  <si>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</si>
  <si>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</si>
  <si>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</si>
  <si>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</si>
  <si>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</si>
  <si>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</si>
  <si>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</si>
  <si>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</si>
  <si>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</si>
  <si>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</si>
  <si>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</si>
  <si>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</si>
  <si>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</si>
  <si>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</si>
  <si>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</si>
  <si>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</si>
  <si>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</si>
  <si>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</si>
  <si>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</si>
  <si>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</si>
  <si>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</si>
  <si>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</si>
  <si>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</si>
  <si>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</si>
  <si>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</si>
  <si>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</si>
  <si>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</si>
  <si>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</si>
  <si>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</si>
  <si>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</si>
  <si>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</si>
  <si>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</si>
  <si>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</si>
  <si>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</si>
  <si>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</si>
  <si>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</si>
  <si>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</si>
  <si>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</si>
  <si>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</si>
  <si>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</si>
  <si>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</si>
  <si>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</si>
  <si>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</si>
  <si>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</si>
  <si>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</si>
  <si>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</si>
  <si>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</si>
  <si>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</si>
  <si>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</si>
  <si>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</si>
  <si>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</si>
  <si>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</si>
  <si>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</si>
  <si>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</si>
  <si>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</si>
  <si>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</si>
  <si>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</si>
  <si>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</si>
  <si>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</si>
  <si>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</si>
  <si>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</si>
  <si>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</si>
  <si>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</si>
  <si>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</si>
  <si>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</si>
  <si>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</si>
  <si>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</si>
  <si>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</si>
  <si>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</si>
  <si>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</si>
  <si>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</si>
  <si>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</si>
  <si>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</si>
  <si>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</si>
  <si>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</si>
  <si>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</si>
  <si>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</si>
  <si>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</si>
  <si>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</si>
  <si>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</si>
  <si>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</si>
  <si>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</si>
  <si>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</si>
  <si>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</si>
  <si>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</si>
  <si>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</si>
  <si>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</si>
  <si>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</si>
  <si>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</si>
  <si>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</si>
  <si>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</si>
  <si>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 xml:space="preserve">Não solicitou devido solda fora de procedimento, alterou para outro local </t>
  </si>
  <si>
    <t>Erro de programação</t>
  </si>
  <si>
    <t>Socaria mecanizada (condicionado a liberação do RDC)</t>
  </si>
  <si>
    <t xml:space="preserve">Sem previsao de faixa devido fechamento </t>
  </si>
  <si>
    <t>Socaria mecanizada (condicionado a liberação da avaria)</t>
  </si>
  <si>
    <t xml:space="preserve">Execução de solda  e troca de trilho - Condicionado a temperatura </t>
  </si>
  <si>
    <t>Pegar cauda do I05 previsao 09:50</t>
  </si>
  <si>
    <t>PPR3</t>
  </si>
  <si>
    <t>Esmerilhamento</t>
  </si>
  <si>
    <t xml:space="preserve">Verificando faixa </t>
  </si>
  <si>
    <t>Gilmar/Lewender</t>
  </si>
  <si>
    <t xml:space="preserve">Substituição de trilho 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</si>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</sst>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>
    <filterColumn colId="1">
      <filters>
        <dateGroupItem year="2026" month="2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BG1" activePane="topRight" state="frozen"/>
      <selection pane="topRight" activeCell="BJ341" sqref="BJ341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 hidden="1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 hidden="1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 hidden="1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 hidden="1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>
        <v>0</v>
      </c>
      <c r="AS338" s="32">
        <v>0</v>
      </c>
      <c r="AT338" s="32">
        <v>0</v>
      </c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>
        <v>0</v>
      </c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>
        <v>0</v>
      </c>
      <c r="BI338" s="14"/>
      <c r="BJ338" s="14" t="s">
        <v>1783</v>
      </c>
      <c r="BK338" s="14" t="s">
        <v>1783</v>
      </c>
      <c r="BL338" s="13"/>
      <c r="BM338" s="12" t="s">
        <v>1295</v>
      </c>
      <c r="BN338" s="12" t="s">
        <v>1256</v>
      </c>
      <c r="BO338" s="130" t="s">
        <v>1784</v>
      </c>
      <c r="BP338" s="14" t="s">
        <v>1783</v>
      </c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>SuperExecução</v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1785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/>
      <c r="AS339" s="32"/>
      <c r="AT339" s="32"/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/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/>
      <c r="BI339" s="14"/>
      <c r="BJ339" s="14" t="s">
        <v>1786</v>
      </c>
      <c r="BK339" s="14"/>
      <c r="BL339" s="13"/>
      <c r="BM339" s="12"/>
      <c r="BN339" s="12"/>
      <c r="BO339" s="130"/>
      <c r="BP339" s="14"/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>V4846081</v>
      </c>
      <c r="B341" s="132">
        <v>46081</v>
      </c>
      <c r="C341" s="7">
        <f>IF(BS_CONTROLE[[#This Row],[DATA]]="","",WEEKNUM(BS_CONTROLE[[#This Row],[DATA]]))</f>
        <v>9</v>
      </c>
      <c r="D341" s="45" t="s">
        <v>183</v>
      </c>
      <c r="E341" s="175">
        <v>397</v>
      </c>
      <c r="F341" s="133" t="s">
        <v>142</v>
      </c>
      <c r="G341" s="8" t="str">
        <f>IF(D341="","*",VLOOKUP(F341,BS_ATIVIDADE[#All],3,FALSE))</f>
        <v>MODERNIZAÇÃO</v>
      </c>
      <c r="H341" s="134" t="s">
        <v>457</v>
      </c>
      <c r="I341" s="134" t="s">
        <v>457</v>
      </c>
      <c r="J341" s="150">
        <v>74</v>
      </c>
      <c r="K341" s="150">
        <v>237.827</v>
      </c>
      <c r="L341" s="71">
        <v>239.64500000000001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1" s="148" t="s">
        <v>1772</v>
      </c>
      <c r="O341" s="134">
        <v>0.375</v>
      </c>
      <c r="P341" s="134">
        <v>6.25E-2</v>
      </c>
      <c r="Q341" s="71">
        <v>500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1207</v>
      </c>
      <c r="W341" s="134" t="s">
        <v>1787</v>
      </c>
      <c r="X341" s="151" t="s">
        <v>1086</v>
      </c>
      <c r="Y341" s="129" t="s">
        <v>1146</v>
      </c>
      <c r="Z341" s="129"/>
      <c r="AA341" s="71">
        <v>1</v>
      </c>
      <c r="AB341" s="59" t="s">
        <v>1088</v>
      </c>
      <c r="AC341" s="59"/>
      <c r="AD341" s="134">
        <v>0.29166666666666669</v>
      </c>
      <c r="AE341" s="71">
        <v>6248</v>
      </c>
      <c r="AF341" s="71" t="s">
        <v>11</v>
      </c>
      <c r="AG341" s="71" t="s">
        <v>11</v>
      </c>
      <c r="AH341" s="42"/>
      <c r="AI341" s="119" t="str">
        <f>IF(BS_CONTROLE[[#This Row],[Atividade]]=0, "-", BS_CONTROLE[[#This Row],[Atividade]])</f>
        <v>MODERNIZAÇÃO - SOCADORA</v>
      </c>
      <c r="AJ341" s="8" t="str">
        <f>IF(D341="","*",VLOOKUP(AI341,BS_ATIVIDADE[#Data],3,FALSE))</f>
        <v>MODERNIZAÇÃO</v>
      </c>
      <c r="AK341" s="166" t="str">
        <f>IF(BS_CONTROLE[[#This Row],[Local - Partida]]=0, "-", BS_CONTROLE[[#This Row],[Local - Partida]])</f>
        <v>TVI</v>
      </c>
      <c r="AL341" s="166" t="str">
        <f>IF(BS_CONTROLE[[#This Row],[Local - Encerramento]]=0, "-", BS_CONTROLE[[#This Row],[Local - Encerramento]])</f>
        <v>TVI</v>
      </c>
      <c r="AM341" s="166" t="str">
        <f>IF(BS_CONTROLE[[#This Row],[Entre - Estações]]=0, "-", BS_CONTROLE[[#This Row],[Entre - Estações]])</f>
        <v>TVI-TJA</v>
      </c>
      <c r="AN341" s="166" t="str">
        <f>IF(BS_CONTROLE[[#This Row],[SB]]=0, "-", BS_CONTROLE[[#This Row],[SB]])</f>
        <v>TVI239/239251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237.827</v>
      </c>
      <c r="AQ341" s="168">
        <f>IF(BS_CONTROLE[[#This Row],[KM - Fim]]=0, "-", BS_CONTROLE[[#This Row],[KM - Fim]])</f>
        <v>239.64500000000001</v>
      </c>
      <c r="AR341" s="32"/>
      <c r="AS341" s="32"/>
      <c r="AT341" s="32"/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/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Augusto/ Efraim</v>
      </c>
      <c r="BG341" s="13"/>
      <c r="BH341" s="14"/>
      <c r="BI341" s="14"/>
      <c r="BJ341" s="14" t="s">
        <v>1786</v>
      </c>
      <c r="BK341" s="14"/>
      <c r="BL341" s="13"/>
      <c r="BM341" s="12"/>
      <c r="BN341" s="12"/>
      <c r="BO341" s="130"/>
      <c r="BP341" s="14"/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>MARCOS (TF-520)46081</v>
      </c>
      <c r="B343" s="132">
        <v>46081</v>
      </c>
      <c r="C343" s="7">
        <f>IF(BS_CONTROLE[[#This Row],[DATA]]="","",WEEKNUM(BS_CONTROLE[[#This Row],[DATA]]))</f>
        <v>9</v>
      </c>
      <c r="D343" s="45" t="s">
        <v>334</v>
      </c>
      <c r="E343" s="175">
        <v>410</v>
      </c>
      <c r="F343" s="133" t="s">
        <v>193</v>
      </c>
      <c r="G343" s="8" t="str">
        <f>IF(D343="","*",VLOOKUP(F343,BS_ATIVIDADE[#All],3,FALSE))</f>
        <v>SOLDA</v>
      </c>
      <c r="H343" s="134" t="s">
        <v>11</v>
      </c>
      <c r="I343" s="134" t="s">
        <v>11</v>
      </c>
      <c r="J343" s="150">
        <v>74</v>
      </c>
      <c r="K343" s="150">
        <v>54.6</v>
      </c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3" s="134">
        <v>0.375</v>
      </c>
      <c r="P343" s="134">
        <v>8.3333333333333329E-2</v>
      </c>
      <c r="Q343" s="71">
        <v>1</v>
      </c>
      <c r="R343" s="9" t="str">
        <f>IFERROR(_xlfn.XLOOKUP(F343, BS_ATIVIDADE[ATIVIDADE],BS_ATIVIDADE[UNIDADE] ), "*")</f>
        <v>Nº DE SOLDA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3" s="188" t="str">
        <f>IFERROR(_xlfn.XLOOKUP(J343, BASE_MAPA!$B$2:$B$420, BASE_MAPA!$G$2:$G$420), "ERRO")</f>
        <v>MARCO INICIAL - ALTO ARAGUAIA</v>
      </c>
      <c r="V343" s="142" t="s">
        <v>1173</v>
      </c>
      <c r="W343" s="134" t="s">
        <v>1788</v>
      </c>
      <c r="X343" s="151" t="s">
        <v>1086</v>
      </c>
      <c r="Y343" s="129" t="s">
        <v>1146</v>
      </c>
      <c r="Z343" s="129"/>
      <c r="AA343" s="71"/>
      <c r="AB343" s="59"/>
      <c r="AC343" s="59"/>
      <c r="AD343" s="134" t="s">
        <v>11</v>
      </c>
      <c r="AE343" s="71" t="s">
        <v>11</v>
      </c>
      <c r="AF343" s="71" t="s">
        <v>11</v>
      </c>
      <c r="AG343" s="71" t="s">
        <v>11</v>
      </c>
      <c r="AH343" s="42"/>
      <c r="AI343" s="119" t="str">
        <f>IF(BS_CONTROLE[[#This Row],[Atividade]]=0, "-", BS_CONTROLE[[#This Row],[Atividade]])</f>
        <v>PDM - SOLDA</v>
      </c>
      <c r="AJ343" s="8" t="str">
        <f>IF(D343="","*",VLOOKUP(AI343,BS_ATIVIDADE[#Data],3,FALSE))</f>
        <v>SOLDA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TLG-TQI</v>
      </c>
      <c r="AN343" s="166" t="str">
        <f>IF(BS_CONTROLE[[#This Row],[SB]]=0, "-", BS_CONTROLE[[#This Row],[SB]])</f>
        <v>K52TQI</v>
      </c>
      <c r="AO343" s="167">
        <f>IF(BS_CONTROLE[[#This Row],[SUB]]=0, "-", BS_CONTROLE[[#This Row],[SUB]])</f>
        <v>74</v>
      </c>
      <c r="AP343" s="168">
        <f>IF(BS_CONTROLE[[#This Row],[KM - Inicio]]=0, "-", BS_CONTROLE[[#This Row],[KM - Inicio]])</f>
        <v>54.6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Nº DE SOLDA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3" s="189" t="str">
        <f>IFERROR(_xlfn.XLOOKUP(AO343, BASE_MAPA!$B$2:$B$420, BASE_MAPA!$G$2:$G$420), "ERRO")</f>
        <v>MARCO INICIAL - ALTO ARAGUAIA</v>
      </c>
      <c r="BF343" s="169" t="str">
        <f>IF(BS_CONTROLE[[#This Row],[Responsavel pelo boletim]]=0, "-", BS_CONTROLE[[#This Row],[Responsavel pelo boletim]])</f>
        <v>Marcos Euzebio</v>
      </c>
      <c r="BG343" s="13"/>
      <c r="BH343" s="14"/>
      <c r="BI343" s="14"/>
      <c r="BJ343" s="14" t="s">
        <v>1789</v>
      </c>
      <c r="BK343" s="14"/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E1446081</v>
      </c>
      <c r="B344" s="132">
        <v>46081</v>
      </c>
      <c r="C344" s="7">
        <f>IF(BS_CONTROLE[[#This Row],[DATA]]="","",WEEKNUM(BS_CONTROLE[[#This Row],[DATA]]))</f>
        <v>9</v>
      </c>
      <c r="D344" s="45" t="s">
        <v>149</v>
      </c>
      <c r="E344" s="175">
        <v>411</v>
      </c>
      <c r="F344" s="133" t="s">
        <v>107</v>
      </c>
      <c r="G344" s="8" t="str">
        <f>IF(D344="","*",VLOOKUP(F344,BS_ATIVIDADE[#All],3,FALSE))</f>
        <v>MECANIZAÇÃO - ESMERILHADORA</v>
      </c>
      <c r="H344" s="134" t="s">
        <v>949</v>
      </c>
      <c r="I344" s="134" t="s">
        <v>1790</v>
      </c>
      <c r="J344" s="150">
        <v>103</v>
      </c>
      <c r="K344" s="150">
        <v>1937</v>
      </c>
      <c r="L344" s="71">
        <v>1980</v>
      </c>
      <c r="M344" s="148" t="s">
        <v>950</v>
      </c>
      <c r="N344" s="148" t="s">
        <v>1623</v>
      </c>
      <c r="O344" s="134">
        <v>0.99930555555555556</v>
      </c>
      <c r="P344" s="134">
        <v>4.1666666666666664E-2</v>
      </c>
      <c r="Q344" s="71">
        <v>40000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4" s="188" t="str">
        <f>IFERROR(_xlfn.XLOOKUP(J344, BASE_MAPA!$B$2:$B$420, BASE_MAPA!$G$2:$G$420), "ERRO")</f>
        <v>OURO VERDE - LIGAÇÃO</v>
      </c>
      <c r="V344" s="142" t="s">
        <v>1296</v>
      </c>
      <c r="W344" s="134" t="s">
        <v>1791</v>
      </c>
      <c r="X344" s="151" t="s">
        <v>1086</v>
      </c>
      <c r="Y344" s="129" t="s">
        <v>1146</v>
      </c>
      <c r="Z344" s="129"/>
      <c r="AA344" s="71">
        <v>1</v>
      </c>
      <c r="AB344" s="59" t="s">
        <v>1088</v>
      </c>
      <c r="AC344" s="59"/>
      <c r="AD344" s="134">
        <v>0.91666666666666663</v>
      </c>
      <c r="AE344" s="71">
        <v>6245</v>
      </c>
      <c r="AF344" s="71">
        <v>6246</v>
      </c>
      <c r="AG344" s="71" t="s">
        <v>11</v>
      </c>
      <c r="AH344" s="42"/>
      <c r="AI344" s="119" t="str">
        <f>IF(BS_CONTROLE[[#This Row],[Atividade]]=0, "-", BS_CONTROLE[[#This Row],[Atividade]])</f>
        <v>MECANIZAÇÃO - ESMERILHADORA</v>
      </c>
      <c r="AJ344" s="8" t="str">
        <f>IF(D344="","*",VLOOKUP(AI344,BS_ATIVIDADE[#Data],3,FALSE))</f>
        <v>MECANIZAÇÃO - ESMERILHADORA</v>
      </c>
      <c r="AK344" s="166" t="str">
        <f>IF(BS_CONTROLE[[#This Row],[Local - Partida]]=0, "-", BS_CONTROLE[[#This Row],[Local - Partida]])</f>
        <v>PQI2</v>
      </c>
      <c r="AL344" s="166" t="str">
        <f>IF(BS_CONTROLE[[#This Row],[Local - Encerramento]]=0, "-", BS_CONTROLE[[#This Row],[Local - Encerramento]])</f>
        <v>PPR3</v>
      </c>
      <c r="AM344" s="166" t="str">
        <f>IF(BS_CONTROLE[[#This Row],[Entre - Estações]]=0, "-", BS_CONTROLE[[#This Row],[Entre - Estações]])</f>
        <v>PQI-PPR</v>
      </c>
      <c r="AN344" s="166" t="str">
        <f>IF(BS_CONTROLE[[#This Row],[SB]]=0, "-", BS_CONTROLE[[#This Row],[SB]])</f>
        <v>PQIPPR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1937</v>
      </c>
      <c r="AQ344" s="168">
        <f>IF(BS_CONTROLE[[#This Row],[KM - Fim]]=0, "-", BS_CONTROLE[[#This Row],[KM - Fim]])</f>
        <v>1980</v>
      </c>
      <c r="AR344" s="32"/>
      <c r="AS344" s="32"/>
      <c r="AT344" s="32"/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/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Fernanda</v>
      </c>
      <c r="BG344" s="13"/>
      <c r="BH344" s="14"/>
      <c r="BI344" s="14"/>
      <c r="BJ344" s="14" t="s">
        <v>1792</v>
      </c>
      <c r="BK344" s="14"/>
      <c r="BL344" s="13"/>
      <c r="BM344" s="12"/>
      <c r="BN344" s="12"/>
      <c r="BO344" s="130"/>
      <c r="BP344" s="14"/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/>
      </c>
    </row>
    <row r="345" spans="1:72">
      <c r="A345" s="44" t="str">
        <f t="shared" si="37"/>
        <v>TURMA FIXA VIA 46081</v>
      </c>
      <c r="B345" s="132">
        <v>46081</v>
      </c>
      <c r="C345" s="7">
        <f>IF(BS_CONTROLE[[#This Row],[DATA]]="","",WEEKNUM(BS_CONTROLE[[#This Row],[DATA]]))</f>
        <v>9</v>
      </c>
      <c r="D345" s="45" t="s">
        <v>265</v>
      </c>
      <c r="E345" s="175">
        <v>412</v>
      </c>
      <c r="F345" s="133" t="s">
        <v>200</v>
      </c>
      <c r="G345" s="8" t="str">
        <f>IF(D345="","*",VLOOKUP(F345,BS_ATIVIDADE[#All],3,FALSE))</f>
        <v>TRILHO - SUBSTITUIÇÂO</v>
      </c>
      <c r="H345" s="134" t="s">
        <v>11</v>
      </c>
      <c r="I345" s="134" t="s">
        <v>11</v>
      </c>
      <c r="J345" s="150">
        <v>103</v>
      </c>
      <c r="K345" s="150">
        <v>1538.962</v>
      </c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5" s="134">
        <v>0.375</v>
      </c>
      <c r="P345" s="134">
        <v>0.125</v>
      </c>
      <c r="Q345" s="71">
        <v>312</v>
      </c>
      <c r="R345" s="9" t="str">
        <f>IFERROR(_xlfn.XLOOKUP(F345, BS_ATIVIDADE[ATIVIDADE],BS_ATIVIDADE[UNIDADE] ), "*")</f>
        <v>M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5" s="188" t="str">
        <f>IFERROR(_xlfn.XLOOKUP(J345, BASE_MAPA!$B$2:$B$420, BASE_MAPA!$G$2:$G$420), "ERRO")</f>
        <v>OURO VERDE - LIGAÇÃO</v>
      </c>
      <c r="V345" s="142" t="s">
        <v>1793</v>
      </c>
      <c r="W345" s="134" t="s">
        <v>1794</v>
      </c>
      <c r="X345" s="151" t="s">
        <v>1086</v>
      </c>
      <c r="Y345" s="129" t="s">
        <v>1146</v>
      </c>
      <c r="Z345" s="129"/>
      <c r="AA345" s="71"/>
      <c r="AB345" s="59"/>
      <c r="AC345" s="59"/>
      <c r="AD345" s="134" t="s">
        <v>11</v>
      </c>
      <c r="AE345" s="71" t="s">
        <v>11</v>
      </c>
      <c r="AF345" s="71" t="s">
        <v>11</v>
      </c>
      <c r="AG345" s="71" t="s">
        <v>11</v>
      </c>
      <c r="AH345" s="42"/>
      <c r="AI345" s="119" t="str">
        <f>IF(BS_CONTROLE[[#This Row],[Atividade]]=0, "-", BS_CONTROLE[[#This Row],[Atividade]])</f>
        <v>PDM - SUBSTITUIÇÃO - TRILHO</v>
      </c>
      <c r="AJ345" s="8" t="str">
        <f>IF(D345="","*",VLOOKUP(AI345,BS_ATIVIDADE[#Data],3,FALSE))</f>
        <v>TRILHO - SUBSTITUIÇÂO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PNV</v>
      </c>
      <c r="AN345" s="166" t="str">
        <f>IF(BS_CONTROLE[[#This Row],[SB]]=0, "-", BS_CONTROLE[[#This Row],[SB]])</f>
        <v>PNV1</v>
      </c>
      <c r="AO345" s="167">
        <f>IF(BS_CONTROLE[[#This Row],[SUB]]=0, "-", BS_CONTROLE[[#This Row],[SUB]])</f>
        <v>103</v>
      </c>
      <c r="AP345" s="168">
        <f>IF(BS_CONTROLE[[#This Row],[KM - Inicio]]=0, "-", BS_CONTROLE[[#This Row],[KM - Inicio]])</f>
        <v>1538.962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>
        <f>IF(D345="","*",IFERROR(IF(ISODD(COUNT(AS345:AX345)),"ERRO",SUM((AT345-AS345),(AV345-AU345),(AX345-AW345))),"ERRO"))</f>
        <v>0</v>
      </c>
      <c r="AZ345" s="11"/>
      <c r="BA345" s="60"/>
      <c r="BB345" s="9" t="str">
        <f>IFERROR(_xlfn.XLOOKUP(AI345, BS_ATIVIDADE[ATIVIDADE],BS_ATIVIDADE[UNIDADE] ), "*")</f>
        <v>M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5" s="189" t="str">
        <f>IFERROR(_xlfn.XLOOKUP(AO345, BASE_MAPA!$B$2:$B$420, BASE_MAPA!$G$2:$G$420), "ERRO")</f>
        <v>OURO VERDE - LIGAÇÃO</v>
      </c>
      <c r="BF345" s="169" t="str">
        <f>IF(BS_CONTROLE[[#This Row],[Responsavel pelo boletim]]=0, "-", BS_CONTROLE[[#This Row],[Responsavel pelo boletim]])</f>
        <v>Gilmar/Lewender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Produção e Intervalo</v>
      </c>
      <c r="BR345" s="15">
        <f t="shared" si="39"/>
        <v>0</v>
      </c>
      <c r="BS345" s="15">
        <f t="shared" si="40"/>
        <v>0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>V86</v>
      </c>
      <c r="B347" s="132"/>
      <c r="C347" s="7" t="str">
        <f>IF(BS_CONTROLE[[#This Row],[DATA]]="","",WEEKNUM(BS_CONTROLE[[#This Row],[DATA]]))</f>
        <v/>
      </c>
      <c r="D347" s="45" t="s">
        <v>217</v>
      </c>
      <c r="E347" s="175">
        <v>388</v>
      </c>
      <c r="F347" s="133" t="s">
        <v>116</v>
      </c>
      <c r="G347" s="8" t="str">
        <f>IF(D347="","*",VLOOKUP(F347,BS_ATIVIDADE[#All],3,FALSE))</f>
        <v>MECANIZAÇÃO - SOCADORA</v>
      </c>
      <c r="H347" s="134" t="s">
        <v>11</v>
      </c>
      <c r="I347" s="134" t="s">
        <v>11</v>
      </c>
      <c r="J347" s="150">
        <v>74</v>
      </c>
      <c r="K347" s="150">
        <v>27.43</v>
      </c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7" s="134">
        <v>0.41666666666666669</v>
      </c>
      <c r="P347" s="134">
        <v>6.25E-2</v>
      </c>
      <c r="Q347" s="71">
        <v>1</v>
      </c>
      <c r="R347" s="9" t="str">
        <f>IFERROR(_xlfn.XLOOKUP(F347, BS_ATIVIDADE[ATIVIDADE],BS_ATIVIDADE[UNIDADE] ), "*")</f>
        <v>M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7" s="188" t="str">
        <f>IFERROR(_xlfn.XLOOKUP(J347, BASE_MAPA!$B$2:$B$420, BASE_MAPA!$G$2:$G$420), "ERRO")</f>
        <v>MARCO INICIAL - ALTO ARAGUAIA</v>
      </c>
      <c r="V347" s="142" t="s">
        <v>1173</v>
      </c>
      <c r="W347" s="134" t="s">
        <v>1157</v>
      </c>
      <c r="X347" s="151" t="s">
        <v>1086</v>
      </c>
      <c r="Y347" s="129"/>
      <c r="Z347" s="129"/>
      <c r="AA347" s="71"/>
      <c r="AB347" s="59"/>
      <c r="AC347" s="59"/>
      <c r="AD347" s="134" t="s">
        <v>11</v>
      </c>
      <c r="AE347" s="71" t="s">
        <v>11</v>
      </c>
      <c r="AF347" s="71" t="s">
        <v>11</v>
      </c>
      <c r="AG347" s="71" t="s">
        <v>11</v>
      </c>
      <c r="AH347" s="42"/>
      <c r="AI347" s="119" t="str">
        <f>IF(BS_CONTROLE[[#This Row],[Atividade]]=0, "-", BS_CONTROLE[[#This Row],[Atividade]])</f>
        <v>MECANIZAÇÃO - SOCADORA</v>
      </c>
      <c r="AJ347" s="8" t="str">
        <f>IF(D347="","*",VLOOKUP(AI347,BS_ATIVIDADE[#Data],3,FALSE))</f>
        <v>MECANIZAÇÃO - SOCADORA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TAP-TLG</v>
      </c>
      <c r="AN347" s="166" t="str">
        <f>IF(BS_CONTROLE[[#This Row],[SB]]=0, "-", BS_CONTROLE[[#This Row],[SB]])</f>
        <v>TAPK35</v>
      </c>
      <c r="AO347" s="167">
        <f>IF(BS_CONTROLE[[#This Row],[SUB]]=0, "-", BS_CONTROLE[[#This Row],[SUB]])</f>
        <v>74</v>
      </c>
      <c r="AP347" s="168">
        <f>IF(BS_CONTROLE[[#This Row],[KM - Inicio]]=0, "-", BS_CONTROLE[[#This Row],[KM - Inicio]])</f>
        <v>27.43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>
        <f>IF(D347="","*",IFERROR(IF(ISODD(COUNT(AS347:AX347)),"ERRO",SUM((AT347-AS347),(AV347-AU347),(AX347-AW347))),"ERRO"))</f>
        <v>0</v>
      </c>
      <c r="AZ347" s="11"/>
      <c r="BA347" s="60"/>
      <c r="BB347" s="9" t="str">
        <f>IFERROR(_xlfn.XLOOKUP(AI347, BS_ATIVIDADE[ATIVIDADE],BS_ATIVIDADE[UNIDADE] ), "*")</f>
        <v>M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7" s="189" t="str">
        <f>IFERROR(_xlfn.XLOOKUP(AO347, BASE_MAPA!$B$2:$B$420, BASE_MAPA!$G$2:$G$420), "ERRO")</f>
        <v>MARCO INICIAL - ALTO ARAGUAIA</v>
      </c>
      <c r="BF347" s="169" t="str">
        <f>IF(BS_CONTROLE[[#This Row],[Responsavel pelo boletim]]=0, "-", BS_CONTROLE[[#This Row],[Responsavel pelo boletim]])</f>
        <v>Marcos Euzebio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>V48</v>
      </c>
      <c r="B349" s="132"/>
      <c r="C349" s="7" t="str">
        <f>IF(BS_CONTROLE[[#This Row],[DATA]]="","",WEEKNUM(BS_CONTROLE[[#This Row],[DATA]]))</f>
        <v/>
      </c>
      <c r="D349" s="45" t="s">
        <v>183</v>
      </c>
      <c r="E349" s="175">
        <v>397</v>
      </c>
      <c r="F349" s="133" t="s">
        <v>142</v>
      </c>
      <c r="G349" s="8" t="str">
        <f>IF(D349="","*",VLOOKUP(F349,BS_ATIVIDADE[#All],3,FALSE))</f>
        <v>MODERNIZAÇÃO</v>
      </c>
      <c r="H349" s="134" t="s">
        <v>457</v>
      </c>
      <c r="I349" s="134" t="s">
        <v>457</v>
      </c>
      <c r="J349" s="150">
        <v>74</v>
      </c>
      <c r="K349" s="150">
        <v>237.827</v>
      </c>
      <c r="L349" s="71">
        <v>239.64500000000001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9" s="148" t="s">
        <v>1772</v>
      </c>
      <c r="O349" s="134">
        <v>0.375</v>
      </c>
      <c r="P349" s="134">
        <v>6.25E-2</v>
      </c>
      <c r="Q349" s="71">
        <v>500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9" s="188" t="str">
        <f>IFERROR(_xlfn.XLOOKUP(J349, BASE_MAPA!$B$2:$B$420, BASE_MAPA!$G$2:$G$420), "ERRO")</f>
        <v>MARCO INICIAL - ALTO ARAGUAIA</v>
      </c>
      <c r="V349" s="142" t="s">
        <v>1793</v>
      </c>
      <c r="W349" s="134" t="s">
        <v>1794</v>
      </c>
      <c r="X349" s="151" t="s">
        <v>1086</v>
      </c>
      <c r="Y349" s="129"/>
      <c r="Z349" s="129"/>
      <c r="AA349" s="71"/>
      <c r="AB349" s="59"/>
      <c r="AC349" s="59"/>
      <c r="AD349" s="134" t="s">
        <v>11</v>
      </c>
      <c r="AE349" s="71" t="s">
        <v>11</v>
      </c>
      <c r="AF349" s="71" t="s">
        <v>11</v>
      </c>
      <c r="AG349" s="71" t="s">
        <v>11</v>
      </c>
      <c r="AH349" s="42"/>
      <c r="AI349" s="119" t="str">
        <f>IF(BS_CONTROLE[[#This Row],[Atividade]]=0, "-", BS_CONTROLE[[#This Row],[Atividade]])</f>
        <v>MODERNIZAÇÃO - SOCADORA</v>
      </c>
      <c r="AJ349" s="8" t="str">
        <f>IF(D349="","*",VLOOKUP(AI349,BS_ATIVIDADE[#Data],3,FALSE))</f>
        <v>MODERNIZAÇÃO</v>
      </c>
      <c r="AK349" s="166" t="str">
        <f>IF(BS_CONTROLE[[#This Row],[Local - Partida]]=0, "-", BS_CONTROLE[[#This Row],[Local - Partida]])</f>
        <v>TVI</v>
      </c>
      <c r="AL349" s="166" t="str">
        <f>IF(BS_CONTROLE[[#This Row],[Local - Encerramento]]=0, "-", BS_CONTROLE[[#This Row],[Local - Encerramento]])</f>
        <v>TVI</v>
      </c>
      <c r="AM349" s="166" t="str">
        <f>IF(BS_CONTROLE[[#This Row],[Entre - Estações]]=0, "-", BS_CONTROLE[[#This Row],[Entre - Estações]])</f>
        <v>TVI-TJA</v>
      </c>
      <c r="AN349" s="166" t="str">
        <f>IF(BS_CONTROLE[[#This Row],[SB]]=0, "-", BS_CONTROLE[[#This Row],[SB]])</f>
        <v>TVI239/239251</v>
      </c>
      <c r="AO349" s="167">
        <f>IF(BS_CONTROLE[[#This Row],[SUB]]=0, "-", BS_CONTROLE[[#This Row],[SUB]])</f>
        <v>74</v>
      </c>
      <c r="AP349" s="168">
        <f>IF(BS_CONTROLE[[#This Row],[KM - Inicio]]=0, "-", BS_CONTROLE[[#This Row],[KM - Inicio]])</f>
        <v>237.827</v>
      </c>
      <c r="AQ349" s="168">
        <f>IF(BS_CONTROLE[[#This Row],[KM - Fim]]=0, "-", BS_CONTROLE[[#This Row],[KM - Fim]])</f>
        <v>239.64500000000001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9" s="189" t="str">
        <f>IFERROR(_xlfn.XLOOKUP(AO349, BASE_MAPA!$B$2:$B$420, BASE_MAPA!$G$2:$G$420), "ERRO")</f>
        <v>MARCO INICIAL - ALTO ARAGUAIA</v>
      </c>
      <c r="BF349" s="169" t="str">
        <f>IF(BS_CONTROLE[[#This Row],[Responsavel pelo boletim]]=0, "-", BS_CONTROLE[[#This Row],[Responsavel pelo boletim]])</f>
        <v>Gilmar/Lewender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>E14</v>
      </c>
      <c r="B350" s="132"/>
      <c r="C350" s="7" t="str">
        <f>IF(BS_CONTROLE[[#This Row],[DATA]]="","",WEEKNUM(BS_CONTROLE[[#This Row],[DATA]]))</f>
        <v/>
      </c>
      <c r="D350" s="45" t="s">
        <v>149</v>
      </c>
      <c r="E350" s="175">
        <v>417</v>
      </c>
      <c r="F350" s="133" t="s">
        <v>107</v>
      </c>
      <c r="G350" s="8" t="str">
        <f>IF(D350="","*",VLOOKUP(F350,BS_ATIVIDADE[#All],3,FALSE))</f>
        <v>MECANIZAÇÃO - ESMERILHADORA</v>
      </c>
      <c r="H350" s="134" t="s">
        <v>954</v>
      </c>
      <c r="I350" s="134" t="s">
        <v>962</v>
      </c>
      <c r="J350" s="150">
        <v>103</v>
      </c>
      <c r="K350" s="150">
        <v>1980</v>
      </c>
      <c r="L350" s="71">
        <v>2029</v>
      </c>
      <c r="M350" s="148" t="s">
        <v>955</v>
      </c>
      <c r="N350" s="148" t="s">
        <v>1795</v>
      </c>
      <c r="O350" s="134">
        <v>0.99930555555555556</v>
      </c>
      <c r="P350" s="134">
        <v>4.1666666666666664E-2</v>
      </c>
      <c r="Q350" s="71">
        <v>40000</v>
      </c>
      <c r="R350" s="9" t="str">
        <f>IFERROR(_xlfn.XLOOKUP(F350, BS_ATIVIDADE[ATIVIDADE],BS_ATIVIDADE[UNIDADE] ), "*")</f>
        <v>M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50" s="188" t="str">
        <f>IFERROR(_xlfn.XLOOKUP(J350, BASE_MAPA!$B$2:$B$420, BASE_MAPA!$G$2:$G$420), "ERRO")</f>
        <v>OURO VERDE - LIGAÇÃO</v>
      </c>
      <c r="V350" s="142" t="s">
        <v>1296</v>
      </c>
      <c r="W350" s="134" t="s">
        <v>1791</v>
      </c>
      <c r="X350" s="151" t="s">
        <v>1086</v>
      </c>
      <c r="Y350" s="129"/>
      <c r="Z350" s="129"/>
      <c r="AA350" s="71">
        <v>1</v>
      </c>
      <c r="AB350" s="59" t="s">
        <v>1088</v>
      </c>
      <c r="AC350" s="59"/>
      <c r="AD350" s="134">
        <v>0.91666666666666663</v>
      </c>
      <c r="AE350" s="71">
        <v>6245</v>
      </c>
      <c r="AF350" s="71">
        <v>6246</v>
      </c>
      <c r="AG350" s="71" t="s">
        <v>11</v>
      </c>
      <c r="AH350" s="42"/>
      <c r="AI350" s="119" t="str">
        <f>IF(BS_CONTROLE[[#This Row],[Atividade]]=0, "-", BS_CONTROLE[[#This Row],[Atividade]])</f>
        <v>MECANIZAÇÃO - ESMERILHADORA</v>
      </c>
      <c r="AJ350" s="8" t="str">
        <f>IF(D350="","*",VLOOKUP(AI350,BS_ATIVIDADE[#Data],3,FALSE))</f>
        <v>MECANIZAÇÃO - ESMERILHADORA</v>
      </c>
      <c r="AK350" s="166" t="str">
        <f>IF(BS_CONTROLE[[#This Row],[Local - Partida]]=0, "-", BS_CONTROLE[[#This Row],[Local - Partida]])</f>
        <v>PPR2</v>
      </c>
      <c r="AL350" s="166" t="str">
        <f>IF(BS_CONTROLE[[#This Row],[Local - Encerramento]]=0, "-", BS_CONTROLE[[#This Row],[Local - Encerramento]])</f>
        <v>PSS2</v>
      </c>
      <c r="AM350" s="166" t="str">
        <f>IF(BS_CONTROLE[[#This Row],[Entre - Estações]]=0, "-", BS_CONTROLE[[#This Row],[Entre - Estações]])</f>
        <v>PPR-PSS</v>
      </c>
      <c r="AN350" s="166" t="str">
        <f>IF(BS_CONTROLE[[#This Row],[SB]]=0, "-", BS_CONTROLE[[#This Row],[SB]])</f>
        <v>PPRPSS</v>
      </c>
      <c r="AO350" s="167">
        <f>IF(BS_CONTROLE[[#This Row],[SUB]]=0, "-", BS_CONTROLE[[#This Row],[SUB]])</f>
        <v>103</v>
      </c>
      <c r="AP350" s="168">
        <f>IF(BS_CONTROLE[[#This Row],[KM - Inicio]]=0, "-", BS_CONTROLE[[#This Row],[KM - Inicio]])</f>
        <v>1980</v>
      </c>
      <c r="AQ350" s="168">
        <f>IF(BS_CONTROLE[[#This Row],[KM - Fim]]=0, "-", BS_CONTROLE[[#This Row],[KM - Fim]])</f>
        <v>2029</v>
      </c>
      <c r="AR350" s="32"/>
      <c r="AS350" s="32"/>
      <c r="AT350" s="32"/>
      <c r="AU350" s="32"/>
      <c r="AV350" s="32"/>
      <c r="AW350" s="32"/>
      <c r="AX350" s="32"/>
      <c r="AY350" s="174">
        <f>IF(D350="","*",IFERROR(IF(ISODD(COUNT(AS350:AX350)),"ERRO",SUM((AT350-AS350),(AV350-AU350),(AX350-AW350))),"ERRO"))</f>
        <v>0</v>
      </c>
      <c r="AZ350" s="11"/>
      <c r="BA350" s="60"/>
      <c r="BB350" s="9" t="str">
        <f>IFERROR(_xlfn.XLOOKUP(AI350, BS_ATIVIDADE[ATIVIDADE],BS_ATIVIDADE[UNIDADE] ), "*")</f>
        <v>M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50" s="189" t="str">
        <f>IFERROR(_xlfn.XLOOKUP(AO350, BASE_MAPA!$B$2:$B$420, BASE_MAPA!$G$2:$G$420), "ERRO")</f>
        <v>OURO VERDE - LIGAÇÃO</v>
      </c>
      <c r="BF350" s="169" t="str">
        <f>IF(BS_CONTROLE[[#This Row],[Responsavel pelo boletim]]=0, "-", BS_CONTROLE[[#This Row],[Responsavel pelo boletim]])</f>
        <v>Fernanda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>V86</v>
      </c>
      <c r="B353" s="132"/>
      <c r="C353" s="7" t="str">
        <f>IF(BS_CONTROLE[[#This Row],[DATA]]="","",WEEKNUM(BS_CONTROLE[[#This Row],[DATA]]))</f>
        <v/>
      </c>
      <c r="D353" s="45" t="s">
        <v>217</v>
      </c>
      <c r="E353" s="175">
        <v>388</v>
      </c>
      <c r="F353" s="133" t="s">
        <v>116</v>
      </c>
      <c r="G353" s="8" t="str">
        <f>IF(D353="","*",VLOOKUP(F353,BS_ATIVIDADE[#All],3,FALSE))</f>
        <v>MECANIZAÇÃO - SOCADORA</v>
      </c>
      <c r="H353" s="134" t="s">
        <v>619</v>
      </c>
      <c r="I353" s="134" t="s">
        <v>619</v>
      </c>
      <c r="J353" s="150">
        <v>98</v>
      </c>
      <c r="K353" s="150">
        <v>664</v>
      </c>
      <c r="L353" s="71">
        <v>667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3" s="134">
        <v>0.41666666666666669</v>
      </c>
      <c r="P353" s="134">
        <v>6.25E-2</v>
      </c>
      <c r="Q353" s="71">
        <v>840</v>
      </c>
      <c r="R353" s="9" t="str">
        <f>IFERROR(_xlfn.XLOOKUP(F353, BS_ATIVIDADE[ATIVIDADE],BS_ATIVIDADE[UNIDADE] ), "*")</f>
        <v>M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188" t="str">
        <f>IFERROR(_xlfn.XLOOKUP(J353, BASE_MAPA!$B$2:$B$420, BASE_MAPA!$G$2:$G$420), "ERRO")</f>
        <v>ALTO ARAGUAIA - RONDONOPOLIS</v>
      </c>
      <c r="V353" s="142" t="s">
        <v>1097</v>
      </c>
      <c r="W353" s="134" t="s">
        <v>1785</v>
      </c>
      <c r="X353" s="151" t="s">
        <v>1086</v>
      </c>
      <c r="Y353" s="129"/>
      <c r="Z353" s="129"/>
      <c r="AA353" s="71">
        <v>1</v>
      </c>
      <c r="AB353" s="59" t="s">
        <v>1088</v>
      </c>
      <c r="AC353" s="59"/>
      <c r="AD353" s="134">
        <v>0.29166666666666669</v>
      </c>
      <c r="AE353" s="71">
        <v>6236</v>
      </c>
      <c r="AF353" s="71">
        <v>6636</v>
      </c>
      <c r="AG353" s="71" t="s">
        <v>11</v>
      </c>
      <c r="AH353" s="42"/>
      <c r="AI353" s="119" t="str">
        <f>IF(BS_CONTROLE[[#This Row],[Atividade]]=0, "-", BS_CONTROLE[[#This Row],[Atividade]])</f>
        <v>MECANIZAÇÃO - SOCADORA</v>
      </c>
      <c r="AJ353" s="8" t="str">
        <f>IF(D353="","*",VLOOKUP(AI353,BS_ATIVIDADE[#Data],3,FALSE))</f>
        <v>MECANIZAÇÃO - SOCADORA</v>
      </c>
      <c r="AK353" s="166" t="str">
        <f>IF(BS_CONTROLE[[#This Row],[Local - Partida]]=0, "-", BS_CONTROLE[[#This Row],[Local - Partida]])</f>
        <v>TIQ2</v>
      </c>
      <c r="AL353" s="166" t="str">
        <f>IF(BS_CONTROLE[[#This Row],[Local - Encerramento]]=0, "-", BS_CONTROLE[[#This Row],[Local - Encerramento]])</f>
        <v>TIQ2</v>
      </c>
      <c r="AM353" s="166" t="str">
        <f>IF(BS_CONTROLE[[#This Row],[Entre - Estações]]=0, "-", BS_CONTROLE[[#This Row],[Entre - Estações]])</f>
        <v>TBS-TAL</v>
      </c>
      <c r="AN353" s="166" t="str">
        <f>IF(BS_CONTROLE[[#This Row],[SB]]=0, "-", BS_CONTROLE[[#This Row],[SB]])</f>
        <v>TBS671</v>
      </c>
      <c r="AO353" s="167">
        <f>IF(BS_CONTROLE[[#This Row],[SUB]]=0, "-", BS_CONTROLE[[#This Row],[SUB]])</f>
        <v>98</v>
      </c>
      <c r="AP353" s="168">
        <f>IF(BS_CONTROLE[[#This Row],[KM - Inicio]]=0, "-", BS_CONTROLE[[#This Row],[KM - Inicio]])</f>
        <v>664</v>
      </c>
      <c r="AQ353" s="168">
        <f>IF(BS_CONTROLE[[#This Row],[KM - Fim]]=0, "-", BS_CONTROLE[[#This Row],[KM - Fim]])</f>
        <v>667</v>
      </c>
      <c r="AR353" s="32"/>
      <c r="AS353" s="32"/>
      <c r="AT353" s="32"/>
      <c r="AU353" s="32"/>
      <c r="AV353" s="32"/>
      <c r="AW353" s="32"/>
      <c r="AX353" s="32"/>
      <c r="AY353" s="174">
        <f>IF(D353="","*",IFERROR(IF(ISODD(COUNT(AS353:AX353)),"ERRO",SUM((AT353-AS353),(AV353-AU353),(AX353-AW353))),"ERRO"))</f>
        <v>0</v>
      </c>
      <c r="AZ353" s="11"/>
      <c r="BA353" s="60"/>
      <c r="BB353" s="9" t="str">
        <f>IFERROR(_xlfn.XLOOKUP(AI353, BS_ATIVIDADE[ATIVIDADE],BS_ATIVIDADE[UNIDADE] ), "*")</f>
        <v>M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89" t="str">
        <f>IFERROR(_xlfn.XLOOKUP(AO353, BASE_MAPA!$B$2:$B$420, BASE_MAPA!$G$2:$G$420), "ERRO")</f>
        <v>ALTO ARAGUAIA - RONDONOPOLIS</v>
      </c>
      <c r="BF353" s="169" t="str">
        <f>IF(BS_CONTROLE[[#This Row],[Responsavel pelo boletim]]=0, "-", BS_CONTROLE[[#This Row],[Responsavel pelo boletim]])</f>
        <v>Antonioni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>W70</v>
      </c>
      <c r="B355" s="132"/>
      <c r="C355" s="7" t="str">
        <f>IF(BS_CONTROLE[[#This Row],[DATA]]="","",WEEKNUM(BS_CONTROLE[[#This Row],[DATA]]))</f>
        <v/>
      </c>
      <c r="D355" s="45" t="s">
        <v>249</v>
      </c>
      <c r="E355" s="175">
        <v>422</v>
      </c>
      <c r="F355" s="133" t="s">
        <v>186</v>
      </c>
      <c r="G355" s="8" t="str">
        <f>IF(D355="","*",VLOOKUP(F355,BS_ATIVIDADE[#All],3,FALSE))</f>
        <v>PEDRA</v>
      </c>
      <c r="H355" s="134" t="s">
        <v>1796</v>
      </c>
      <c r="I355" s="134" t="s">
        <v>1796</v>
      </c>
      <c r="J355" s="150">
        <v>74</v>
      </c>
      <c r="K355" s="150">
        <v>499.1</v>
      </c>
      <c r="L355" s="71">
        <v>495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5" s="134">
        <v>0.41666666666666669</v>
      </c>
      <c r="P355" s="134">
        <v>8.3333333333333329E-2</v>
      </c>
      <c r="Q355" s="71">
        <v>10</v>
      </c>
      <c r="R355" s="9" t="str">
        <f>IFERROR(_xlfn.XLOOKUP(F355, BS_ATIVIDADE[ATIVIDADE],BS_ATIVIDADE[UNIDADE] ), "*")</f>
        <v>VAGÕES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5" s="188" t="str">
        <f>IFERROR(_xlfn.XLOOKUP(J355, BASE_MAPA!$B$2:$B$420, BASE_MAPA!$G$2:$G$420), "ERRO")</f>
        <v>MARCO INICIAL - ALTO ARAGUAIA</v>
      </c>
      <c r="V355" s="142" t="s">
        <v>1417</v>
      </c>
      <c r="W355" s="134" t="s">
        <v>1145</v>
      </c>
      <c r="X355" s="151" t="s">
        <v>1086</v>
      </c>
      <c r="Y355" s="129"/>
      <c r="Z355" s="129"/>
      <c r="AA355" s="71" t="s">
        <v>1087</v>
      </c>
      <c r="AB355" s="59" t="s">
        <v>1088</v>
      </c>
      <c r="AC355" s="59"/>
      <c r="AD355" s="134">
        <v>0.29166666666666669</v>
      </c>
      <c r="AE355" s="71">
        <v>9292</v>
      </c>
      <c r="AF355" s="71">
        <v>9425</v>
      </c>
      <c r="AG355" s="71">
        <v>7632</v>
      </c>
      <c r="AH355" s="42"/>
      <c r="AI355" s="119" t="str">
        <f>IF(BS_CONTROLE[[#This Row],[Atividade]]=0, "-", BS_CONTROLE[[#This Row],[Atividade]])</f>
        <v>PDM - PEDRA - DESCARGA</v>
      </c>
      <c r="AJ355" s="8" t="str">
        <f>IF(D355="","*",VLOOKUP(AI355,BS_ATIVIDADE[#Data],3,FALSE))</f>
        <v>PEDRA</v>
      </c>
      <c r="AK355" s="166" t="str">
        <f>IF(BS_CONTROLE[[#This Row],[Local - Partida]]=0, "-", BS_CONTROLE[[#This Row],[Local - Partida]])</f>
        <v>TAG2</v>
      </c>
      <c r="AL355" s="166" t="str">
        <f>IF(BS_CONTROLE[[#This Row],[Local - Encerramento]]=0, "-", BS_CONTROLE[[#This Row],[Local - Encerramento]])</f>
        <v>TAG2</v>
      </c>
      <c r="AM355" s="166" t="str">
        <f>IF(BS_CONTROLE[[#This Row],[Entre - Estações]]=0, "-", BS_CONTROLE[[#This Row],[Entre - Estações]])</f>
        <v>TBR-TGR</v>
      </c>
      <c r="AN355" s="166" t="str">
        <f>IF(BS_CONTROLE[[#This Row],[SB]]=0, "-", BS_CONTROLE[[#This Row],[SB]])</f>
        <v>499TGR1</v>
      </c>
      <c r="AO355" s="167">
        <f>IF(BS_CONTROLE[[#This Row],[SUB]]=0, "-", BS_CONTROLE[[#This Row],[SUB]])</f>
        <v>74</v>
      </c>
      <c r="AP355" s="168">
        <f>IF(BS_CONTROLE[[#This Row],[KM - Inicio]]=0, "-", BS_CONTROLE[[#This Row],[KM - Inicio]])</f>
        <v>499.1</v>
      </c>
      <c r="AQ355" s="168">
        <f>IF(BS_CONTROLE[[#This Row],[KM - Fim]]=0, "-", BS_CONTROLE[[#This Row],[KM - Fim]])</f>
        <v>495</v>
      </c>
      <c r="AR355" s="32"/>
      <c r="AS355" s="32"/>
      <c r="AT355" s="32"/>
      <c r="AU355" s="32"/>
      <c r="AV355" s="32"/>
      <c r="AW355" s="32"/>
      <c r="AX355" s="32"/>
      <c r="AY355" s="174">
        <f>IF(D355="","*",IFERROR(IF(ISODD(COUNT(AS355:AX355)),"ERRO",SUM((AT355-AS355),(AV355-AU355),(AX355-AW355))),"ERRO"))</f>
        <v>0</v>
      </c>
      <c r="AZ355" s="11"/>
      <c r="BA355" s="60"/>
      <c r="BB355" s="9" t="str">
        <f>IFERROR(_xlfn.XLOOKUP(AI355, BS_ATIVIDADE[ATIVIDADE],BS_ATIVIDADE[UNIDADE] ), "*")</f>
        <v>VAGÕES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89" t="str">
        <f>IFERROR(_xlfn.XLOOKUP(AO355, BASE_MAPA!$B$2:$B$420, BASE_MAPA!$G$2:$G$420), "ERRO")</f>
        <v>MARCO INICIAL - ALTO ARAGUAIA</v>
      </c>
      <c r="BF355" s="169" t="str">
        <f>IF(BS_CONTROLE[[#This Row],[Responsavel pelo boletim]]=0, "-", BS_CONTROLE[[#This Row],[Responsavel pelo boletim]])</f>
        <v>Elton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>A60</v>
      </c>
      <c r="B357" s="132"/>
      <c r="C357" s="7" t="str">
        <f>IF(BS_CONTROLE[[#This Row],[DATA]]="","",WEEKNUM(BS_CONTROLE[[#This Row],[DATA]]))</f>
        <v/>
      </c>
      <c r="D357" s="45" t="s">
        <v>106</v>
      </c>
      <c r="E357" s="175">
        <v>424</v>
      </c>
      <c r="F357" s="133" t="s">
        <v>32</v>
      </c>
      <c r="G357" s="8" t="str">
        <f>IF(D357="","*",VLOOKUP(F357,BS_ATIVIDADE[#All],3,FALSE))</f>
        <v>DETECÇÃO</v>
      </c>
      <c r="H357" s="134" t="s">
        <v>479</v>
      </c>
      <c r="I357" s="134" t="s">
        <v>418</v>
      </c>
      <c r="J357" s="150">
        <v>74</v>
      </c>
      <c r="K357" s="150">
        <v>290.77</v>
      </c>
      <c r="L357" s="71" t="s">
        <v>11</v>
      </c>
      <c r="M357" s="148" t="s">
        <v>1436</v>
      </c>
      <c r="N357" s="148" t="s">
        <v>1437</v>
      </c>
      <c r="O357" s="134">
        <v>0.3125</v>
      </c>
      <c r="P357" s="134">
        <v>4.1666666666666664E-2</v>
      </c>
      <c r="Q357" s="71">
        <v>180</v>
      </c>
      <c r="R357" s="9" t="str">
        <f>IFERROR(_xlfn.XLOOKUP(F357, BS_ATIVIDADE[ATIVIDADE],BS_ATIVIDADE[UNIDADE] ), "*")</f>
        <v>KM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7" s="188" t="str">
        <f>IFERROR(_xlfn.XLOOKUP(J357, BASE_MAPA!$B$2:$B$420, BASE_MAPA!$G$2:$G$420), "ERRO")</f>
        <v>MARCO INICIAL - ALTO ARAGUAIA</v>
      </c>
      <c r="V357" s="142" t="s">
        <v>1335</v>
      </c>
      <c r="W357" s="134" t="s">
        <v>1797</v>
      </c>
      <c r="X357" s="151" t="s">
        <v>1122</v>
      </c>
      <c r="Y357" s="129"/>
      <c r="Z357" s="129"/>
      <c r="AA357" s="71">
        <v>1</v>
      </c>
      <c r="AB357" s="59" t="s">
        <v>1088</v>
      </c>
      <c r="AC357" s="59"/>
      <c r="AD357" s="134">
        <v>0.29166666666666669</v>
      </c>
      <c r="AE357" s="71">
        <v>5487</v>
      </c>
      <c r="AF357" s="71" t="s">
        <v>11</v>
      </c>
      <c r="AG357" s="71" t="s">
        <v>11</v>
      </c>
      <c r="AH357" s="42"/>
      <c r="AI357" s="119" t="str">
        <f>IF(BS_CONTROLE[[#This Row],[Atividade]]=0, "-", BS_CONTROLE[[#This Row],[Atividade]])</f>
        <v>DETECÇÃO - RONDA 7 DIAS</v>
      </c>
      <c r="AJ357" s="8" t="str">
        <f>IF(D357="","*",VLOOKUP(AI357,BS_ATIVIDADE[#Data],3,FALSE))</f>
        <v>DETECÇÃO</v>
      </c>
      <c r="AK357" s="166" t="str">
        <f>IF(BS_CONTROLE[[#This Row],[Local - Partida]]=0, "-", BS_CONTROLE[[#This Row],[Local - Partida]])</f>
        <v>TCS291</v>
      </c>
      <c r="AL357" s="166" t="str">
        <f>IF(BS_CONTROLE[[#This Row],[Local - Encerramento]]=0, "-", BS_CONTROLE[[#This Row],[Local - Encerramento]])</f>
        <v>TIN1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290.77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KM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Daniel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>W50</v>
      </c>
      <c r="B358" s="132"/>
      <c r="C358" s="7" t="str">
        <f>IF(BS_CONTROLE[[#This Row],[DATA]]="","",WEEKNUM(BS_CONTROLE[[#This Row],[DATA]]))</f>
        <v/>
      </c>
      <c r="D358" s="45" t="s">
        <v>240</v>
      </c>
      <c r="E358" s="175">
        <v>425</v>
      </c>
      <c r="F358" s="133" t="s">
        <v>25</v>
      </c>
      <c r="G358" s="8" t="str">
        <f>IF(D358="","*",VLOOKUP(F358,BS_ATIVIDADE[#All],3,FALSE))</f>
        <v>OUTROS</v>
      </c>
      <c r="H358" s="134" t="s">
        <v>1341</v>
      </c>
      <c r="I358" s="134" t="s">
        <v>419</v>
      </c>
      <c r="J358" s="150">
        <v>74</v>
      </c>
      <c r="K358" s="150">
        <v>290</v>
      </c>
      <c r="L358" s="71" t="s">
        <v>11</v>
      </c>
      <c r="M358" s="148" t="s">
        <v>1436</v>
      </c>
      <c r="N358" s="148" t="s">
        <v>1437</v>
      </c>
      <c r="O358" s="134">
        <v>0.52083333333333337</v>
      </c>
      <c r="P358" s="134">
        <v>4.1666666666666664E-2</v>
      </c>
      <c r="Q358" s="71">
        <v>1</v>
      </c>
      <c r="R358" s="9" t="str">
        <f>IFERROR(_xlfn.XLOOKUP(F358, BS_ATIVIDADE[ATIVIDADE],BS_ATIVIDADE[UNIDADE] ), "*")</f>
        <v>BINÁRIO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188" t="str">
        <f>IFERROR(_xlfn.XLOOKUP(J358, BASE_MAPA!$B$2:$B$420, BASE_MAPA!$G$2:$G$420), "ERRO")</f>
        <v>MARCO INICIAL - ALTO ARAGUAIA</v>
      </c>
      <c r="V358" s="142" t="s">
        <v>1798</v>
      </c>
      <c r="W358" s="134" t="s">
        <v>1799</v>
      </c>
      <c r="X358" s="151" t="s">
        <v>1086</v>
      </c>
      <c r="Y358" s="129"/>
      <c r="Z358" s="129"/>
      <c r="AA358" s="71" t="s">
        <v>1800</v>
      </c>
      <c r="AB358" s="59" t="s">
        <v>1088</v>
      </c>
      <c r="AC358" s="59"/>
      <c r="AD358" s="134">
        <v>0.29166666666666669</v>
      </c>
      <c r="AE358" s="71">
        <v>7671</v>
      </c>
      <c r="AF358" s="71">
        <v>9322</v>
      </c>
      <c r="AG358" s="71" t="s">
        <v>11</v>
      </c>
      <c r="AH358" s="42"/>
      <c r="AI358" s="119" t="str">
        <f>IF(BS_CONTROLE[[#This Row],[Atividade]]=0, "-", BS_CONTROLE[[#This Row],[Atividade]])</f>
        <v>DESLOCAMENTO</v>
      </c>
      <c r="AJ358" s="8" t="str">
        <f>IF(D358="","*",VLOOKUP(AI358,BS_ATIVIDADE[#Data],3,FALSE))</f>
        <v>OUTROS</v>
      </c>
      <c r="AK358" s="166" t="str">
        <f>IF(BS_CONTROLE[[#This Row],[Local - Partida]]=0, "-", BS_CONTROLE[[#This Row],[Local - Partida]])</f>
        <v xml:space="preserve">TCS2 </v>
      </c>
      <c r="AL358" s="166" t="str">
        <f>IF(BS_CONTROLE[[#This Row],[Local - Encerramento]]=0, "-", BS_CONTROLE[[#This Row],[Local - Encerramento]])</f>
        <v>TIN2</v>
      </c>
      <c r="AM358" s="166" t="str">
        <f>IF(BS_CONTROLE[[#This Row],[Entre - Estações]]=0, "-", BS_CONTROLE[[#This Row],[Entre - Estações]])</f>
        <v>TCS-TIN</v>
      </c>
      <c r="AN358" s="166" t="str">
        <f>IF(BS_CONTROLE[[#This Row],[SB]]=0, "-", BS_CONTROLE[[#This Row],[SB]])</f>
        <v>TCSTIN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BINÁRIO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Efrain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>MARCOS (TF-520)</v>
      </c>
      <c r="B359" s="132"/>
      <c r="C359" s="7" t="str">
        <f>IF(BS_CONTROLE[[#This Row],[DATA]]="","",WEEKNUM(BS_CONTROLE[[#This Row],[DATA]]))</f>
        <v/>
      </c>
      <c r="D359" s="45" t="s">
        <v>334</v>
      </c>
      <c r="E359" s="175">
        <v>426</v>
      </c>
      <c r="F359" s="133" t="s">
        <v>193</v>
      </c>
      <c r="G359" s="8" t="str">
        <f>IF(D359="","*",VLOOKUP(F359,BS_ATIVIDADE[#All],3,FALSE))</f>
        <v>SOLDA</v>
      </c>
      <c r="H359" s="134" t="s">
        <v>11</v>
      </c>
      <c r="I359" s="134" t="s">
        <v>11</v>
      </c>
      <c r="J359" s="150">
        <v>74</v>
      </c>
      <c r="K359" s="150">
        <v>290.75900000000001</v>
      </c>
      <c r="L359" s="71" t="s">
        <v>11</v>
      </c>
      <c r="M359" s="148" t="s">
        <v>1801</v>
      </c>
      <c r="N359" s="148" t="s">
        <v>1802</v>
      </c>
      <c r="O359" s="134">
        <v>0.375</v>
      </c>
      <c r="P359" s="134">
        <v>6.25E-2</v>
      </c>
      <c r="Q359" s="71">
        <v>1</v>
      </c>
      <c r="R359" s="9" t="str">
        <f>IFERROR(_xlfn.XLOOKUP(F359, BS_ATIVIDADE[ATIVIDADE],BS_ATIVIDADE[UNIDADE] ), "*")</f>
        <v>Nº DE SOLDA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9" s="188" t="str">
        <f>IFERROR(_xlfn.XLOOKUP(J359, BASE_MAPA!$B$2:$B$420, BASE_MAPA!$G$2:$G$420), "ERRO")</f>
        <v>MARCO INICIAL - ALTO ARAGUAIA</v>
      </c>
      <c r="V359" s="142" t="s">
        <v>1173</v>
      </c>
      <c r="W359" s="134" t="s">
        <v>1157</v>
      </c>
      <c r="X359" s="151" t="s">
        <v>1086</v>
      </c>
      <c r="Y359" s="129"/>
      <c r="Z359" s="129"/>
      <c r="AA359" s="71" t="s">
        <v>11</v>
      </c>
      <c r="AB359" s="59"/>
      <c r="AC359" s="59"/>
      <c r="AD359" s="134" t="s">
        <v>11</v>
      </c>
      <c r="AE359" s="71" t="s">
        <v>11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PDM - SOLDA</v>
      </c>
      <c r="AJ359" s="8" t="str">
        <f>IF(D359="","*",VLOOKUP(AI359,BS_ATIVIDADE[#Data],3,FALSE))</f>
        <v>SOLDA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TCS-N</v>
      </c>
      <c r="AN359" s="166" t="str">
        <f>IF(BS_CONTROLE[[#This Row],[SB]]=0, "-", BS_CONTROLE[[#This Row],[SB]])</f>
        <v>TCSN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290.75900000000001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Nº DE SOLDA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Marcos Euzebio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>V48</v>
      </c>
      <c r="B360" s="132"/>
      <c r="C360" s="7" t="str">
        <f>IF(BS_CONTROLE[[#This Row],[DATA]]="","",WEEKNUM(BS_CONTROLE[[#This Row],[DATA]]))</f>
        <v/>
      </c>
      <c r="D360" s="45" t="s">
        <v>183</v>
      </c>
      <c r="E360" s="175">
        <v>397</v>
      </c>
      <c r="F360" s="133" t="s">
        <v>142</v>
      </c>
      <c r="G360" s="8" t="str">
        <f>IF(D360="","*",VLOOKUP(F360,BS_ATIVIDADE[#All],3,FALSE))</f>
        <v>MODERNIZAÇÃO</v>
      </c>
      <c r="H360" s="134" t="s">
        <v>457</v>
      </c>
      <c r="I360" s="134" t="s">
        <v>457</v>
      </c>
      <c r="J360" s="150">
        <v>74</v>
      </c>
      <c r="K360" s="150">
        <v>237.827</v>
      </c>
      <c r="L360" s="71">
        <v>239.64500000000001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60" s="148" t="s">
        <v>1772</v>
      </c>
      <c r="O360" s="134">
        <v>0.375</v>
      </c>
      <c r="P360" s="134">
        <v>6.25E-2</v>
      </c>
      <c r="Q360" s="71">
        <v>500</v>
      </c>
      <c r="R360" s="9" t="str">
        <f>IFERROR(_xlfn.XLOOKUP(F360, BS_ATIVIDADE[ATIVIDADE],BS_ATIVIDADE[UNIDADE] ), "*")</f>
        <v>M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0" s="188" t="str">
        <f>IFERROR(_xlfn.XLOOKUP(J360, BASE_MAPA!$B$2:$B$420, BASE_MAPA!$G$2:$G$420), "ERRO")</f>
        <v>MARCO INICIAL - ALTO ARAGUAIA</v>
      </c>
      <c r="V360" s="142" t="s">
        <v>1207</v>
      </c>
      <c r="W360" s="134" t="s">
        <v>1787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6248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MODERNIZAÇÃO - SOCADORA</v>
      </c>
      <c r="AJ360" s="8" t="str">
        <f>IF(D360="","*",VLOOKUP(AI360,BS_ATIVIDADE[#Data],3,FALSE))</f>
        <v>MODERNIZAÇÃO</v>
      </c>
      <c r="AK360" s="166" t="str">
        <f>IF(BS_CONTROLE[[#This Row],[Local - Partida]]=0, "-", BS_CONTROLE[[#This Row],[Local - Partida]])</f>
        <v>TVI</v>
      </c>
      <c r="AL360" s="166" t="str">
        <f>IF(BS_CONTROLE[[#This Row],[Local - Encerramento]]=0, "-", BS_CONTROLE[[#This Row],[Local - Encerramento]])</f>
        <v>TVI</v>
      </c>
      <c r="AM360" s="166" t="str">
        <f>IF(BS_CONTROLE[[#This Row],[Entre - Estações]]=0, "-", BS_CONTROLE[[#This Row],[Entre - Estações]])</f>
        <v>TVI-TJA</v>
      </c>
      <c r="AN360" s="166" t="str">
        <f>IF(BS_CONTROLE[[#This Row],[SB]]=0, "-", BS_CONTROLE[[#This Row],[SB]])</f>
        <v>TVI239/239251</v>
      </c>
      <c r="AO360" s="167">
        <f>IF(BS_CONTROLE[[#This Row],[SUB]]=0, "-", BS_CONTROLE[[#This Row],[SUB]])</f>
        <v>74</v>
      </c>
      <c r="AP360" s="168">
        <f>IF(BS_CONTROLE[[#This Row],[KM - Inicio]]=0, "-", BS_CONTROLE[[#This Row],[KM - Inicio]])</f>
        <v>237.827</v>
      </c>
      <c r="AQ360" s="168">
        <f>IF(BS_CONTROLE[[#This Row],[KM - Fim]]=0, "-", BS_CONTROLE[[#This Row],[KM - Fim]])</f>
        <v>239.64500000000001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M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89" t="str">
        <f>IFERROR(_xlfn.XLOOKUP(AO360, BASE_MAPA!$B$2:$B$420, BASE_MAPA!$G$2:$G$420), "ERRO")</f>
        <v>MARCO INICIAL - ALTO ARAGUAIA</v>
      </c>
      <c r="BF360" s="169" t="str">
        <f>IF(BS_CONTROLE[[#This Row],[Responsavel pelo boletim]]=0, "-", BS_CONTROLE[[#This Row],[Responsavel pelo boletim]])</f>
        <v>Augusto/ Efraim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>E18</v>
      </c>
      <c r="B361" s="132"/>
      <c r="C361" s="7" t="str">
        <f>IF(BS_CONTROLE[[#This Row],[DATA]]="","",WEEKNUM(BS_CONTROLE[[#This Row],[DATA]]))</f>
        <v/>
      </c>
      <c r="D361" s="45" t="s">
        <v>1488</v>
      </c>
      <c r="E361" s="175">
        <v>428</v>
      </c>
      <c r="F361" s="133" t="s">
        <v>13</v>
      </c>
      <c r="G361" s="8" t="str">
        <f>IF(D361="","*",VLOOKUP(F361,BS_ATIVIDADE[#All],3,FALSE))</f>
        <v>CAMINHÂO - SOLDA</v>
      </c>
      <c r="H361" s="148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1" s="134" t="s">
        <v>11</v>
      </c>
      <c r="J361" s="150">
        <v>78</v>
      </c>
      <c r="K361" s="150">
        <v>177.22</v>
      </c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1" s="134">
        <v>0.35416666666666669</v>
      </c>
      <c r="P361" s="134">
        <v>0.125</v>
      </c>
      <c r="Q361" s="71">
        <v>3</v>
      </c>
      <c r="R361" s="9" t="str">
        <f>IFERROR(_xlfn.XLOOKUP(F361, BS_ATIVIDADE[ATIVIDADE],BS_ATIVIDADE[UNIDADE] ), "*")</f>
        <v>Nº DE SOLDA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1" s="188" t="str">
        <f>IFERROR(_xlfn.XLOOKUP(J361, BASE_MAPA!$B$2:$B$420, BASE_MAPA!$G$2:$G$420), "ERRO")</f>
        <v>ITIRAPINA - BAURU</v>
      </c>
      <c r="V361" s="142" t="s">
        <v>1489</v>
      </c>
      <c r="W361" s="134" t="s">
        <v>1490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0.29166666666666669</v>
      </c>
      <c r="AE361" s="71">
        <v>6252</v>
      </c>
      <c r="AF361" s="71" t="s">
        <v>11</v>
      </c>
      <c r="AG361" s="71" t="s">
        <v>11</v>
      </c>
      <c r="AH361" s="42"/>
      <c r="AI361" s="119" t="str">
        <f>IF(BS_CONTROLE[[#This Row],[Atividade]]=0, "-", BS_CONTROLE[[#This Row],[Atividade]])</f>
        <v>CAMINHÃO DE SOLDA</v>
      </c>
      <c r="AJ361" s="8" t="str">
        <f>IF(D361="","*",VLOOKUP(AI361,BS_ATIVIDADE[#Data],3,FALSE))</f>
        <v>CAMINHÂO - SOLDA</v>
      </c>
      <c r="AK361" s="166" t="str">
        <f>IF(BS_CONTROLE[[#This Row],[Local - Partida]]=0, "-", BS_CONTROLE[[#This Row],[Local - Partida]])</f>
        <v>ZIQZQY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ZIQ-ZQY</v>
      </c>
      <c r="AN361" s="166" t="str">
        <f>IF(BS_CONTROLE[[#This Row],[SB]]=0, "-", BS_CONTROLE[[#This Row],[SB]])</f>
        <v>ZIQZQY</v>
      </c>
      <c r="AO361" s="167">
        <f>IF(BS_CONTROLE[[#This Row],[SUB]]=0, "-", BS_CONTROLE[[#This Row],[SUB]])</f>
        <v>78</v>
      </c>
      <c r="AP361" s="168">
        <f>IF(BS_CONTROLE[[#This Row],[KM - Inicio]]=0, "-", BS_CONTROLE[[#This Row],[KM - Inicio]])</f>
        <v>177.22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Nº DE SOLDA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1" s="189" t="str">
        <f>IFERROR(_xlfn.XLOOKUP(AO361, BASE_MAPA!$B$2:$B$420, BASE_MAPA!$G$2:$G$420), "ERRO")</f>
        <v>ITIRAPINA - BAURU</v>
      </c>
      <c r="BF361" s="169" t="str">
        <f>IF(BS_CONTROLE[[#This Row],[Responsavel pelo boletim]]=0, "-", BS_CONTROLE[[#This Row],[Responsavel pelo boletim]])</f>
        <v>Higor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>E14</v>
      </c>
      <c r="B362" s="132"/>
      <c r="C362" s="7" t="str">
        <f>IF(BS_CONTROLE[[#This Row],[DATA]]="","",WEEKNUM(BS_CONTROLE[[#This Row],[DATA]]))</f>
        <v/>
      </c>
      <c r="D362" s="45" t="s">
        <v>149</v>
      </c>
      <c r="E362" s="175">
        <v>429</v>
      </c>
      <c r="F362" s="133" t="s">
        <v>107</v>
      </c>
      <c r="G362" s="8" t="str">
        <f>IF(D362="","*",VLOOKUP(F362,BS_ATIVIDADE[#All],3,FALSE))</f>
        <v>MECANIZAÇÃO - ESMERILHADORA</v>
      </c>
      <c r="H362" s="134" t="s">
        <v>962</v>
      </c>
      <c r="I362" s="134" t="s">
        <v>975</v>
      </c>
      <c r="J362" s="150">
        <v>103</v>
      </c>
      <c r="K362" s="150">
        <v>2029</v>
      </c>
      <c r="L362" s="71">
        <v>2116</v>
      </c>
      <c r="M362" s="148" t="s">
        <v>1663</v>
      </c>
      <c r="N362" s="148" t="s">
        <v>1661</v>
      </c>
      <c r="O362" s="134">
        <v>0.99930555555555556</v>
      </c>
      <c r="P362" s="134">
        <v>4.1666666666666664E-2</v>
      </c>
      <c r="Q362" s="71">
        <v>40000</v>
      </c>
      <c r="R362" s="9" t="str">
        <f>IFERROR(_xlfn.XLOOKUP(F362, BS_ATIVIDADE[ATIVIDADE],BS_ATIVIDADE[UNIDADE] ), "*")</f>
        <v>M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2" s="188" t="str">
        <f>IFERROR(_xlfn.XLOOKUP(J362, BASE_MAPA!$B$2:$B$420, BASE_MAPA!$G$2:$G$420), "ERRO")</f>
        <v>OURO VERDE - LIGAÇÃO</v>
      </c>
      <c r="V362" s="142" t="s">
        <v>1296</v>
      </c>
      <c r="W362" s="134" t="s">
        <v>1803</v>
      </c>
      <c r="X362" s="151" t="s">
        <v>1086</v>
      </c>
      <c r="Y362" s="129"/>
      <c r="Z362" s="129"/>
      <c r="AA362" s="71">
        <v>1</v>
      </c>
      <c r="AB362" s="59" t="s">
        <v>1088</v>
      </c>
      <c r="AC362" s="59"/>
      <c r="AD362" s="134">
        <v>0.91666666666666663</v>
      </c>
      <c r="AE362" s="71">
        <v>6245</v>
      </c>
      <c r="AF362" s="71">
        <v>6246</v>
      </c>
      <c r="AG362" s="71" t="s">
        <v>11</v>
      </c>
      <c r="AH362" s="42"/>
      <c r="AI362" s="119" t="str">
        <f>IF(BS_CONTROLE[[#This Row],[Atividade]]=0, "-", BS_CONTROLE[[#This Row],[Atividade]])</f>
        <v>MECANIZAÇÃO - ESMERILHADORA</v>
      </c>
      <c r="AJ362" s="8" t="str">
        <f>IF(D362="","*",VLOOKUP(AI362,BS_ATIVIDADE[#Data],3,FALSE))</f>
        <v>MECANIZAÇÃO - ESMERILHADORA</v>
      </c>
      <c r="AK362" s="166" t="str">
        <f>IF(BS_CONTROLE[[#This Row],[Local - Partida]]=0, "-", BS_CONTROLE[[#This Row],[Local - Partida]])</f>
        <v>PSS2</v>
      </c>
      <c r="AL362" s="166" t="str">
        <f>IF(BS_CONTROLE[[#This Row],[Local - Encerramento]]=0, "-", BS_CONTROLE[[#This Row],[Local - Encerramento]])</f>
        <v>PIT2</v>
      </c>
      <c r="AM362" s="166" t="str">
        <f>IF(BS_CONTROLE[[#This Row],[Entre - Estações]]=0, "-", BS_CONTROLE[[#This Row],[Entre - Estações]])</f>
        <v>PSS-PIT</v>
      </c>
      <c r="AN362" s="166" t="str">
        <f>IF(BS_CONTROLE[[#This Row],[SB]]=0, "-", BS_CONTROLE[[#This Row],[SB]])</f>
        <v>PSSPIT</v>
      </c>
      <c r="AO362" s="167">
        <f>IF(BS_CONTROLE[[#This Row],[SUB]]=0, "-", BS_CONTROLE[[#This Row],[SUB]])</f>
        <v>103</v>
      </c>
      <c r="AP362" s="168">
        <f>IF(BS_CONTROLE[[#This Row],[KM - Inicio]]=0, "-", BS_CONTROLE[[#This Row],[KM - Inicio]])</f>
        <v>2029</v>
      </c>
      <c r="AQ362" s="168">
        <f>IF(BS_CONTROLE[[#This Row],[KM - Fim]]=0, "-", BS_CONTROLE[[#This Row],[KM - Fim]])</f>
        <v>2116</v>
      </c>
      <c r="AR362" s="32"/>
      <c r="AS362" s="32"/>
      <c r="AT362" s="32"/>
      <c r="AU362" s="32"/>
      <c r="AV362" s="32"/>
      <c r="AW362" s="32"/>
      <c r="AX362" s="32"/>
      <c r="AY362" s="174">
        <f>IF(D362="","*",IFERROR(IF(ISODD(COUNT(AS362:AX362)),"ERRO",SUM((AT362-AS362),(AV362-AU362),(AX362-AW362))),"ERRO"))</f>
        <v>0</v>
      </c>
      <c r="AZ362" s="11"/>
      <c r="BA362" s="60"/>
      <c r="BB362" s="9" t="str">
        <f>IFERROR(_xlfn.XLOOKUP(AI362, BS_ATIVIDADE[ATIVIDADE],BS_ATIVIDADE[UNIDADE] ), "*")</f>
        <v>M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2" s="189" t="str">
        <f>IFERROR(_xlfn.XLOOKUP(AO362, BASE_MAPA!$B$2:$B$420, BASE_MAPA!$G$2:$G$420), "ERRO")</f>
        <v>OURO VERDE - LIGAÇÃO</v>
      </c>
      <c r="BF362" s="169" t="str">
        <f>IF(BS_CONTROLE[[#This Row],[Responsavel pelo boletim]]=0, "-", BS_CONTROLE[[#This Row],[Responsavel pelo boletim]])</f>
        <v>Fernanda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 hidden="1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 hidden="1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 hidden="1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 hidden="1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 hidden="1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 hidden="1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40" operator="equal">
      <formula>"ERRO"</formula>
    </cfRule>
  </conditionalFormatting>
  <conditionalFormatting sqref="X4 Y1:Z4 Y8:Z728">
    <cfRule type="cellIs" dxfId="125" priority="18529" operator="equal">
      <formula>"OPORTUNIDADE"</formula>
    </cfRule>
  </conditionalFormatting>
  <conditionalFormatting sqref="AZ6:AZ728">
    <cfRule type="expression" dxfId="124" priority="18524">
      <formula>$BU6=1</formula>
    </cfRule>
  </conditionalFormatting>
  <conditionalFormatting sqref="BQ6:BQ728">
    <cfRule type="cellIs" dxfId="123" priority="18535" operator="equal">
      <formula>"Produção e Intervalo"</formula>
    </cfRule>
    <cfRule type="cellIs" dxfId="122" priority="18536" operator="equal">
      <formula>"Aderente"</formula>
    </cfRule>
    <cfRule type="cellIs" dxfId="121" priority="18537" operator="equal">
      <formula>"Intervalo"</formula>
    </cfRule>
    <cfRule type="cellIs" dxfId="120" priority="18538" operator="equal">
      <formula>"Produção"</formula>
    </cfRule>
    <cfRule type="cellIs" dxfId="119" priority="18539" operator="equal">
      <formula>"ERRO"</formula>
    </cfRule>
  </conditionalFormatting>
  <conditionalFormatting sqref="BR6:BS728">
    <cfRule type="cellIs" dxfId="118" priority="18517" operator="equal">
      <formula>"*"</formula>
    </cfRule>
    <cfRule type="cellIs" dxfId="117" priority="18518" operator="greaterThanOrEqual">
      <formula>1</formula>
    </cfRule>
    <cfRule type="cellIs" dxfId="116" priority="18519" operator="lessThan">
      <formula>1</formula>
    </cfRule>
  </conditionalFormatting>
  <conditionalFormatting sqref="Y8:Z728">
    <cfRule type="cellIs" dxfId="115" priority="18465" operator="equal">
      <formula>"NÃO"</formula>
    </cfRule>
    <cfRule type="cellIs" dxfId="114" priority="18466" operator="equal">
      <formula>"SIM"</formula>
    </cfRule>
  </conditionalFormatting>
  <conditionalFormatting sqref="Y1047791:Y1048576">
    <cfRule type="cellIs" dxfId="113" priority="18346" operator="equal">
      <formula>"OPORTUNIDADE"</formula>
    </cfRule>
  </conditionalFormatting>
  <conditionalFormatting sqref="Y1047791:Y1048576">
    <cfRule type="cellIs" dxfId="112" priority="18344" operator="equal">
      <formula>"NÃO"</formula>
    </cfRule>
    <cfRule type="cellIs" dxfId="111" priority="18345" operator="equal">
      <formula>"SIM"</formula>
    </cfRule>
  </conditionalFormatting>
  <conditionalFormatting sqref="Y6:Y7">
    <cfRule type="cellIs" dxfId="110" priority="66" operator="equal">
      <formula>"OPORTUNIDADE"</formula>
    </cfRule>
  </conditionalFormatting>
  <conditionalFormatting sqref="Y6:Y7">
    <cfRule type="cellIs" dxfId="109" priority="64" operator="equal">
      <formula>"NÃO"</formula>
    </cfRule>
    <cfRule type="cellIs" dxfId="108" priority="65" operator="equal">
      <formula>"SIM"</formula>
    </cfRule>
  </conditionalFormatting>
  <conditionalFormatting sqref="BK1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9" operator="equal">
      <formula>"OPORTUNIDADE"</formula>
    </cfRule>
  </conditionalFormatting>
  <conditionalFormatting sqref="BP22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8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 BK331:BK332 BK342:BK728 BK339:BK340">
    <cfRule type="iconSet" priority="28811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76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84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86">
      <iconSet showValue="0">
        <cfvo type="percent" val="0"/>
        <cfvo type="num" val="1"/>
        <cfvo type="num" val="1" gte="0"/>
      </iconSet>
    </cfRule>
    <cfRule type="iconSet" priority="28887">
      <iconSet showValue="0">
        <cfvo type="percent" val="0"/>
        <cfvo type="num" val="1"/>
        <cfvo type="num" val="1" gte="0"/>
      </iconSet>
    </cfRule>
  </conditionalFormatting>
  <conditionalFormatting sqref="BP6:BP223 BP225:BP337 BP339:BP728">
    <cfRule type="iconSet" priority="2889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1804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1805</v>
      </c>
      <c r="E3" s="176" t="s">
        <v>1806</v>
      </c>
      <c r="F3" s="176" t="s">
        <v>1807</v>
      </c>
      <c r="G3" s="176" t="s">
        <v>1808</v>
      </c>
      <c r="H3" s="176" t="s">
        <v>1809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1810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1811</v>
      </c>
      <c r="D12" s="177">
        <v>9049</v>
      </c>
      <c r="E12" s="178">
        <v>46044</v>
      </c>
      <c r="F12" s="180" t="s">
        <v>1812</v>
      </c>
      <c r="G12" s="177" t="s">
        <v>1813</v>
      </c>
      <c r="H12" s="177"/>
    </row>
    <row r="13" spans="3:8">
      <c r="C13" s="177" t="s">
        <v>1811</v>
      </c>
      <c r="D13" s="177">
        <v>9044</v>
      </c>
      <c r="E13" s="178">
        <v>46044</v>
      </c>
      <c r="F13" s="180" t="s">
        <v>1814</v>
      </c>
      <c r="G13" s="177" t="s">
        <v>1815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1817</v>
      </c>
      <c r="C1" s="20" t="s">
        <v>1298</v>
      </c>
      <c r="E1" s="20" t="s">
        <v>1818</v>
      </c>
      <c r="G1" s="20" t="s">
        <v>1819</v>
      </c>
      <c r="H1" s="22"/>
      <c r="I1" s="20" t="s">
        <v>1820</v>
      </c>
      <c r="J1" s="22"/>
      <c r="K1" s="20" t="s">
        <v>1821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1822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1823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1824</v>
      </c>
      <c r="E3" s="28">
        <v>2</v>
      </c>
      <c r="G3" s="28" t="s">
        <v>11</v>
      </c>
      <c r="H3" s="22"/>
      <c r="I3" s="28" t="s">
        <v>1825</v>
      </c>
      <c r="J3" s="22"/>
      <c r="K3" s="28" t="s">
        <v>1086</v>
      </c>
      <c r="L3" s="22"/>
      <c r="M3" s="28" t="s">
        <v>1826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1827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1828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1829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1830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1831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1832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1833</v>
      </c>
      <c r="C13" s="2" t="s">
        <v>1609</v>
      </c>
      <c r="D13" s="2" t="s">
        <v>1428</v>
      </c>
      <c r="E13" s="2" t="s">
        <v>1834</v>
      </c>
      <c r="F13" s="2" t="s">
        <v>1835</v>
      </c>
      <c r="G13" s="2" t="s">
        <v>1109</v>
      </c>
      <c r="H13" s="2" t="s">
        <v>1474</v>
      </c>
      <c r="I13" s="2" t="s">
        <v>1169</v>
      </c>
      <c r="J13" s="2" t="s">
        <v>1836</v>
      </c>
      <c r="K13" s="2" t="s">
        <v>1101</v>
      </c>
      <c r="L13" s="2" t="s">
        <v>1295</v>
      </c>
      <c r="M13" s="2" t="s">
        <v>1837</v>
      </c>
      <c r="N13" s="2" t="s">
        <v>1255</v>
      </c>
      <c r="O13" s="2" t="s">
        <v>1838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1839</v>
      </c>
      <c r="U13" s="2" t="s">
        <v>1840</v>
      </c>
      <c r="V13" s="26" t="s">
        <v>1600</v>
      </c>
      <c r="W13" s="26" t="s">
        <v>1841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1842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1843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1844</v>
      </c>
      <c r="R14" s="28" t="s">
        <v>1160</v>
      </c>
      <c r="S14" s="28" t="s">
        <v>1429</v>
      </c>
      <c r="T14" s="28" t="s">
        <v>1429</v>
      </c>
      <c r="U14" s="28" t="s">
        <v>1840</v>
      </c>
      <c r="V14" s="29" t="s">
        <v>1600</v>
      </c>
      <c r="W14" s="29" t="s">
        <v>1841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1845</v>
      </c>
      <c r="B15" s="28" t="s">
        <v>1846</v>
      </c>
      <c r="C15" s="28" t="str">
        <f>""</f>
        <v/>
      </c>
      <c r="D15" s="28"/>
      <c r="E15" s="28"/>
      <c r="F15" s="28"/>
      <c r="G15" s="28" t="s">
        <v>1847</v>
      </c>
      <c r="H15" s="28" t="s">
        <v>1848</v>
      </c>
      <c r="I15" s="28" t="s">
        <v>1849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1850</v>
      </c>
      <c r="T15" s="28" t="s">
        <v>1850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1851</v>
      </c>
      <c r="L16" s="28"/>
      <c r="M16" s="28"/>
      <c r="N16" s="28"/>
      <c r="O16" s="28"/>
      <c r="P16" s="28"/>
      <c r="Q16" s="28"/>
      <c r="R16" s="28" t="s">
        <v>1852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1849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1853</v>
      </c>
      <c r="B28" s="25" t="s">
        <v>1854</v>
      </c>
      <c r="C28" s="25" t="s">
        <v>1855</v>
      </c>
      <c r="D28" s="25" t="s">
        <v>1856</v>
      </c>
      <c r="E28" s="25" t="s">
        <v>1857</v>
      </c>
      <c r="F28" s="25" t="s">
        <v>1858</v>
      </c>
      <c r="G28" s="25" t="s">
        <v>1859</v>
      </c>
      <c r="H28" s="25" t="s">
        <v>1860</v>
      </c>
      <c r="I28" s="25" t="s">
        <v>1861</v>
      </c>
      <c r="J28" s="25" t="s">
        <v>1862</v>
      </c>
      <c r="K28" s="25" t="s">
        <v>1863</v>
      </c>
      <c r="L28" s="25" t="s">
        <v>1864</v>
      </c>
      <c r="M28" s="25" t="s">
        <v>1865</v>
      </c>
      <c r="N28" s="25" t="s">
        <v>1866</v>
      </c>
      <c r="O28" s="25" t="s">
        <v>1867</v>
      </c>
      <c r="P28" s="25" t="s">
        <v>1868</v>
      </c>
      <c r="Q28" s="25" t="s">
        <v>1869</v>
      </c>
      <c r="R28" s="25" t="s">
        <v>1870</v>
      </c>
      <c r="S28" s="25" t="s">
        <v>1871</v>
      </c>
      <c r="T28" s="25" t="s">
        <v>1872</v>
      </c>
      <c r="U28" s="25" t="s">
        <v>1873</v>
      </c>
      <c r="V28" s="25" t="s">
        <v>1874</v>
      </c>
      <c r="W28" s="25" t="s">
        <v>1875</v>
      </c>
      <c r="X28" s="25" t="s">
        <v>1876</v>
      </c>
      <c r="Y28" s="25" t="s">
        <v>1877</v>
      </c>
      <c r="Z28" s="25" t="s">
        <v>1878</v>
      </c>
      <c r="AA28" s="25" t="s">
        <v>1879</v>
      </c>
      <c r="AB28" s="25" t="s">
        <v>1880</v>
      </c>
      <c r="AC28" s="25" t="s">
        <v>1881</v>
      </c>
      <c r="AD28" s="25" t="s">
        <v>1882</v>
      </c>
      <c r="AE28" s="25" t="s">
        <v>1883</v>
      </c>
      <c r="AF28" s="25" t="s">
        <v>1884</v>
      </c>
      <c r="AG28" s="25" t="s">
        <v>1885</v>
      </c>
      <c r="AH28" s="25" t="s">
        <v>1886</v>
      </c>
      <c r="AI28" s="25" t="s">
        <v>1887</v>
      </c>
      <c r="AJ28" s="25" t="s">
        <v>1888</v>
      </c>
      <c r="AK28" s="25" t="s">
        <v>1889</v>
      </c>
      <c r="AL28" s="25" t="s">
        <v>1890</v>
      </c>
      <c r="AM28" s="25" t="s">
        <v>1891</v>
      </c>
      <c r="AN28" s="30" t="s">
        <v>1892</v>
      </c>
      <c r="AO28" s="30" t="s">
        <v>1893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1894</v>
      </c>
      <c r="C29" s="28" t="s">
        <v>1895</v>
      </c>
      <c r="D29" s="28" t="s">
        <v>1110</v>
      </c>
      <c r="E29" s="28" t="s">
        <v>1846</v>
      </c>
      <c r="F29" s="28" t="s">
        <v>1611</v>
      </c>
      <c r="G29" s="28" t="s">
        <v>1896</v>
      </c>
      <c r="H29" s="28" t="s">
        <v>1897</v>
      </c>
      <c r="I29" s="28" t="s">
        <v>1257</v>
      </c>
      <c r="J29" s="28" t="s">
        <v>1111</v>
      </c>
      <c r="K29" s="28" t="s">
        <v>1111</v>
      </c>
      <c r="L29" s="28" t="s">
        <v>1898</v>
      </c>
      <c r="M29" s="28" t="s">
        <v>1899</v>
      </c>
      <c r="N29" s="28" t="s">
        <v>1171</v>
      </c>
      <c r="O29" s="28" t="s">
        <v>1900</v>
      </c>
      <c r="P29" s="28" t="s">
        <v>1901</v>
      </c>
      <c r="Q29" s="28" t="s">
        <v>1902</v>
      </c>
      <c r="R29" s="28" t="s">
        <v>1903</v>
      </c>
      <c r="S29" s="28" t="s">
        <v>1103</v>
      </c>
      <c r="T29" s="28" t="s">
        <v>1480</v>
      </c>
      <c r="U29" s="28" t="s">
        <v>1784</v>
      </c>
      <c r="V29" s="28" t="s">
        <v>1480</v>
      </c>
      <c r="W29" s="28" t="s">
        <v>1784</v>
      </c>
      <c r="X29" s="28" t="s">
        <v>1904</v>
      </c>
      <c r="Y29" s="28" t="s">
        <v>1784</v>
      </c>
      <c r="Z29" s="28" t="s">
        <v>1480</v>
      </c>
      <c r="AA29" s="28" t="s">
        <v>1784</v>
      </c>
      <c r="AB29" s="28" t="s">
        <v>1095</v>
      </c>
      <c r="AC29" s="28" t="s">
        <v>1905</v>
      </c>
      <c r="AD29" s="28" t="s">
        <v>1130</v>
      </c>
      <c r="AE29" s="28" t="s">
        <v>1555</v>
      </c>
      <c r="AF29" s="28" t="s">
        <v>1852</v>
      </c>
      <c r="AG29" s="28" t="s">
        <v>1120</v>
      </c>
      <c r="AH29" s="28" t="s">
        <v>1906</v>
      </c>
      <c r="AI29" s="28" t="s">
        <v>1907</v>
      </c>
      <c r="AJ29" s="28" t="s">
        <v>1111</v>
      </c>
      <c r="AK29" s="28" t="s">
        <v>1907</v>
      </c>
      <c r="AL29" s="28" t="s">
        <v>1111</v>
      </c>
      <c r="AM29" s="28" t="s">
        <v>1840</v>
      </c>
      <c r="AN29" s="29" t="s">
        <v>1600</v>
      </c>
      <c r="AO29" s="29" t="s">
        <v>1841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1847</v>
      </c>
      <c r="E30" s="28"/>
      <c r="F30" s="28" t="s">
        <v>1908</v>
      </c>
      <c r="G30" s="28" t="s">
        <v>1430</v>
      </c>
      <c r="H30" s="28" t="s">
        <v>1909</v>
      </c>
      <c r="I30" s="28" t="s">
        <v>1910</v>
      </c>
      <c r="J30" s="28"/>
      <c r="K30" s="28"/>
      <c r="L30" s="28" t="s">
        <v>1911</v>
      </c>
      <c r="M30" s="28" t="s">
        <v>1912</v>
      </c>
      <c r="N30" s="28" t="s">
        <v>1257</v>
      </c>
      <c r="O30" s="28" t="s">
        <v>1913</v>
      </c>
      <c r="P30" s="28" t="s">
        <v>1914</v>
      </c>
      <c r="Q30" s="28" t="s">
        <v>1204</v>
      </c>
      <c r="R30" s="28"/>
      <c r="S30" s="28" t="s">
        <v>1902</v>
      </c>
      <c r="T30" s="28" t="s">
        <v>1915</v>
      </c>
      <c r="U30" s="28" t="s">
        <v>1257</v>
      </c>
      <c r="V30" s="28" t="s">
        <v>1915</v>
      </c>
      <c r="W30" s="28" t="s">
        <v>1257</v>
      </c>
      <c r="X30" s="28" t="s">
        <v>1915</v>
      </c>
      <c r="Y30" s="28" t="s">
        <v>1257</v>
      </c>
      <c r="Z30" s="28" t="s">
        <v>1915</v>
      </c>
      <c r="AA30" s="28" t="s">
        <v>1916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1917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1918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1919</v>
      </c>
      <c r="N31" s="28" t="s">
        <v>1784</v>
      </c>
      <c r="O31" s="28" t="s">
        <v>1920</v>
      </c>
      <c r="P31" s="28" t="s">
        <v>1921</v>
      </c>
      <c r="Q31" s="28" t="s">
        <v>1922</v>
      </c>
      <c r="R31" s="28"/>
      <c r="S31" s="28" t="s">
        <v>1204</v>
      </c>
      <c r="T31" s="28"/>
      <c r="U31" s="28" t="s">
        <v>1923</v>
      </c>
      <c r="V31" s="28"/>
      <c r="W31" s="28" t="s">
        <v>1923</v>
      </c>
      <c r="X31" s="28"/>
      <c r="Y31" s="28" t="s">
        <v>1923</v>
      </c>
      <c r="Z31" s="28"/>
      <c r="AA31" s="28" t="s">
        <v>1923</v>
      </c>
      <c r="AB31" s="28"/>
      <c r="AC31" s="28"/>
      <c r="AD31" s="28"/>
      <c r="AE31" s="28" t="s">
        <v>1924</v>
      </c>
      <c r="AF31" s="28"/>
      <c r="AG31" s="28"/>
      <c r="AH31" s="28"/>
      <c r="AI31" s="28" t="s">
        <v>1925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1926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1927</v>
      </c>
      <c r="Q32" s="28" t="s">
        <v>1928</v>
      </c>
      <c r="R32" s="28"/>
      <c r="S32" s="28" t="s">
        <v>1922</v>
      </c>
      <c r="T32" s="28"/>
      <c r="U32" s="28" t="s">
        <v>1929</v>
      </c>
      <c r="V32" s="28"/>
      <c r="W32" s="28" t="s">
        <v>1929</v>
      </c>
      <c r="X32" s="28"/>
      <c r="Y32" s="28" t="s">
        <v>1929</v>
      </c>
      <c r="Z32" s="28"/>
      <c r="AA32" s="28" t="s">
        <v>1929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1930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1928</v>
      </c>
      <c r="T33" s="28"/>
      <c r="U33" s="28" t="s">
        <v>1931</v>
      </c>
      <c r="V33" s="28"/>
      <c r="W33" s="28" t="s">
        <v>1931</v>
      </c>
      <c r="X33" s="28"/>
      <c r="Y33" s="28" t="s">
        <v>1931</v>
      </c>
      <c r="Z33" s="28"/>
      <c r="AA33" s="28" t="s">
        <v>1931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1932</v>
      </c>
      <c r="M34" s="28"/>
      <c r="N34" s="28"/>
      <c r="O34" s="28"/>
      <c r="P34" s="28"/>
      <c r="Q34" s="28" t="s">
        <v>1933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1934</v>
      </c>
      <c r="R35" s="28"/>
      <c r="S35" s="28" t="s">
        <v>1933</v>
      </c>
      <c r="T35" s="28"/>
      <c r="U35" s="28" t="s">
        <v>1935</v>
      </c>
      <c r="V35" s="28"/>
      <c r="W35" s="28" t="s">
        <v>1935</v>
      </c>
      <c r="X35" s="28"/>
      <c r="Y35" s="28" t="s">
        <v>1935</v>
      </c>
      <c r="Z35" s="28"/>
      <c r="AA35" s="28" t="s">
        <v>1935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1936</v>
      </c>
      <c r="R36" s="28"/>
      <c r="S36" s="28" t="s">
        <v>1934</v>
      </c>
      <c r="T36" s="28"/>
      <c r="U36" s="28" t="s">
        <v>1937</v>
      </c>
      <c r="V36" s="28"/>
      <c r="W36" s="28" t="s">
        <v>1937</v>
      </c>
      <c r="X36" s="28"/>
      <c r="Y36" s="28" t="s">
        <v>1937</v>
      </c>
      <c r="Z36" s="28"/>
      <c r="AA36" s="28" t="s">
        <v>1937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1938</v>
      </c>
      <c r="R37" s="28"/>
      <c r="S37" s="28" t="s">
        <v>1936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1939</v>
      </c>
      <c r="R38" s="28"/>
      <c r="S38" s="28" t="s">
        <v>1938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1940</v>
      </c>
      <c r="R39" s="28"/>
      <c r="S39" s="31" t="s">
        <v>1939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1941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1942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1943</v>
      </c>
      <c r="B3" s="91" t="s">
        <v>1944</v>
      </c>
      <c r="C3" s="91" t="s">
        <v>7</v>
      </c>
      <c r="D3" s="92" t="s">
        <v>1032</v>
      </c>
      <c r="E3" s="92" t="s">
        <v>366</v>
      </c>
      <c r="F3" s="92" t="s">
        <v>1945</v>
      </c>
      <c r="G3" s="92" t="s">
        <v>1850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1946</v>
      </c>
      <c r="T3" s="94" t="s">
        <v>1035</v>
      </c>
      <c r="U3" s="90">
        <f ca="1">TODAY()-1</f>
        <v>46080</v>
      </c>
      <c r="V3" s="90">
        <f ca="1">U3-1</f>
        <v>46079</v>
      </c>
      <c r="W3" s="90">
        <f ca="1">V3-1</f>
        <v>46078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>
        <f ca="1">_xlfn.XLOOKUP(G6&amp;$U$3,BS_CONTROLE[CHAVE],BS_CONTROLE[Quantidade_11],"-")</f>
        <v>0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1900</v>
      </c>
      <c r="W7" s="98">
        <f ca="1">_xlfn.XLOOKUP(G7&amp;$W$3,BS_CONTROLE[CHAVE],BS_CONTROLE[Quantidade_11],"-")</f>
        <v>800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1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1900</v>
      </c>
      <c r="W15" s="98">
        <f ca="1">_xlfn.XLOOKUP(G15&amp;$W$3,BS_CONTROLE[CHAVE],BS_CONTROLE[Quantidade_11],"-")</f>
        <v>800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1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1900</v>
      </c>
      <c r="W28" s="98">
        <f ca="1">_xlfn.XLOOKUP(G28&amp;$W$3,BS_CONTROLE[CHAVE],BS_CONTROLE[Quantidade_11],"-")</f>
        <v>800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1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220</v>
      </c>
      <c r="W35" s="98">
        <f ca="1">_xlfn.XLOOKUP(G35&amp;$W$3,BS_CONTROLE[CHAVE],BS_CONTROLE[Quantidade_11],"-")</f>
        <v>210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12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1900</v>
      </c>
      <c r="W41" s="98">
        <f ca="1">_xlfn.XLOOKUP(G41&amp;$W$3,BS_CONTROLE[CHAVE],BS_CONTROLE[Quantidade_11],"-")</f>
        <v>800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1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220</v>
      </c>
      <c r="W48" s="98">
        <f ca="1">_xlfn.XLOOKUP(G48&amp;$W$3,BS_CONTROLE[CHAVE],BS_CONTROLE[Quantidade_11],"-")</f>
        <v>210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1900</v>
      </c>
      <c r="W53" s="98">
        <f ca="1">_xlfn.XLOOKUP(G53&amp;$W$3,BS_CONTROLE[CHAVE],BS_CONTROLE[Quantidade_11],"-")</f>
        <v>800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220</v>
      </c>
      <c r="W57" s="98">
        <f ca="1">_xlfn.XLOOKUP(G57&amp;$W$3,BS_CONTROLE[CHAVE],BS_CONTROLE[Quantidade_11],"-")</f>
        <v>210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1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1900</v>
      </c>
      <c r="W63" s="98">
        <f ca="1">_xlfn.XLOOKUP(G63&amp;$W$3,BS_CONTROLE[CHAVE],BS_CONTROLE[Quantidade_11],"-")</f>
        <v>800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1900</v>
      </c>
      <c r="W68" s="98">
        <f ca="1">_xlfn.XLOOKUP(G68&amp;$W$3,BS_CONTROLE[CHAVE],BS_CONTROLE[Quantidade_11],"-")</f>
        <v>800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1900</v>
      </c>
      <c r="W71" s="98">
        <f ca="1">_xlfn.XLOOKUP(G71&amp;$W$3,BS_CONTROLE[CHAVE],BS_CONTROLE[Quantidade_11],"-")</f>
        <v>800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220</v>
      </c>
      <c r="W75" s="98">
        <f ca="1">_xlfn.XLOOKUP(G75&amp;$W$3,BS_CONTROLE[CHAVE],BS_CONTROLE[Quantidade_11],"-")</f>
        <v>210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12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1900</v>
      </c>
      <c r="W82" s="98">
        <f ca="1">_xlfn.XLOOKUP(G82&amp;$W$3,BS_CONTROLE[CHAVE],BS_CONTROLE[Quantidade_11],"-")</f>
        <v>800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1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220</v>
      </c>
      <c r="W96" s="98">
        <f ca="1">_xlfn.XLOOKUP(G96&amp;$W$3,BS_CONTROLE[CHAVE],BS_CONTROLE[Quantidade_11],"-")</f>
        <v>210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1900</v>
      </c>
      <c r="W100" s="98">
        <f ca="1">_xlfn.XLOOKUP(G100&amp;$W$3,BS_CONTROLE[CHAVE],BS_CONTROLE[Quantidade_11],"-")</f>
        <v>800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220</v>
      </c>
      <c r="W105" s="98">
        <f ca="1">_xlfn.XLOOKUP(G105&amp;$W$3,BS_CONTROLE[CHAVE],BS_CONTROLE[Quantidade_11],"-")</f>
        <v>210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12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1900</v>
      </c>
      <c r="W113" s="98">
        <f ca="1">_xlfn.XLOOKUP(G113&amp;$W$3,BS_CONTROLE[CHAVE],BS_CONTROLE[Quantidade_11],"-")</f>
        <v>800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220</v>
      </c>
      <c r="W119" s="98">
        <f ca="1">_xlfn.XLOOKUP(G119&amp;$W$3,BS_CONTROLE[CHAVE],BS_CONTROLE[Quantidade_11],"-")</f>
        <v>210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13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1900</v>
      </c>
      <c r="W130" s="98">
        <f ca="1">_xlfn.XLOOKUP(G130&amp;$W$3,BS_CONTROLE[CHAVE],BS_CONTROLE[Quantidade_11],"-")</f>
        <v>800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1900</v>
      </c>
      <c r="W142" s="98">
        <f ca="1">_xlfn.XLOOKUP(G142&amp;$W$3,BS_CONTROLE[CHAVE],BS_CONTROLE[Quantidade_11],"-")</f>
        <v>800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1900</v>
      </c>
      <c r="W148" s="98">
        <f ca="1">_xlfn.XLOOKUP(G148&amp;$W$3,BS_CONTROLE[CHAVE],BS_CONTROLE[Quantidade_11],"-")</f>
        <v>800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1900</v>
      </c>
      <c r="W152" s="98">
        <f ca="1">_xlfn.XLOOKUP(G152&amp;$W$3,BS_CONTROLE[CHAVE],BS_CONTROLE[Quantidade_11],"-")</f>
        <v>800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220</v>
      </c>
      <c r="W155" s="98">
        <f ca="1">_xlfn.XLOOKUP(G155&amp;$W$3,BS_CONTROLE[CHAVE],BS_CONTROLE[Quantidade_11],"-")</f>
        <v>210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1900</v>
      </c>
      <c r="W164" s="98">
        <f ca="1">_xlfn.XLOOKUP(G164&amp;$W$3,BS_CONTROLE[CHAVE],BS_CONTROLE[Quantidade_11],"-")</f>
        <v>800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220</v>
      </c>
      <c r="W172" s="98">
        <f ca="1">_xlfn.XLOOKUP(G172&amp;$W$3,BS_CONTROLE[CHAVE],BS_CONTROLE[Quantidade_11],"-")</f>
        <v>210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4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13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1900</v>
      </c>
      <c r="W179" s="98">
        <f ca="1">_xlfn.XLOOKUP(G179&amp;$W$3,BS_CONTROLE[CHAVE],BS_CONTROLE[Quantidade_11],"-")</f>
        <v>800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>
        <f ca="1">_xlfn.XLOOKUP(G182&amp;$U$3,BS_CONTROLE[CHAVE],BS_CONTROLE[Quantidade_11],"-")</f>
        <v>2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220</v>
      </c>
      <c r="W183" s="98">
        <f ca="1">_xlfn.XLOOKUP(G183&amp;$W$3,BS_CONTROLE[CHAVE],BS_CONTROLE[Quantidade_11],"-")</f>
        <v>210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1900</v>
      </c>
      <c r="W194" s="98">
        <f ca="1">_xlfn.XLOOKUP(G194&amp;$W$3,BS_CONTROLE[CHAVE],BS_CONTROLE[Quantidade_11],"-")</f>
        <v>800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>
        <f ca="1">_xlfn.XLOOKUP(G196&amp;$V$3,BS_CONTROLE[CHAVE],BS_CONTROLE[Quantidade_11],"-")</f>
        <v>0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>
        <f ca="1">_xlfn.XLOOKUP(G197&amp;$V$3,BS_CONTROLE[CHAVE],BS_CONTROLE[Quantidade_11],"-")</f>
        <v>220</v>
      </c>
      <c r="W197" s="98">
        <f ca="1">_xlfn.XLOOKUP(G197&amp;$W$3,BS_CONTROLE[CHAVE],BS_CONTROLE[Quantidade_11],"-")</f>
        <v>210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220</v>
      </c>
      <c r="W210" s="98">
        <f ca="1">_xlfn.XLOOKUP(G210&amp;$W$3,BS_CONTROLE[CHAVE],BS_CONTROLE[Quantidade_11],"-")</f>
        <v>210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1900</v>
      </c>
      <c r="W211" s="98">
        <f ca="1">_xlfn.XLOOKUP(G211&amp;$W$3,BS_CONTROLE[CHAVE],BS_CONTROLE[Quantidade_11],"-")</f>
        <v>800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0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>
        <f ca="1">_xlfn.XLOOKUP(G221&amp;$V$3,BS_CONTROLE[CHAVE],BS_CONTROLE[Quantidade_11],"-")</f>
        <v>12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 t="str">
        <f ca="1">_xlfn.XLOOKUP(G222&amp;$U$3,BS_CONTROLE[CHAVE],BS_CONTROLE[Quantidade_11],"-")</f>
        <v>-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4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1900</v>
      </c>
      <c r="W231" s="98">
        <f ca="1">_xlfn.XLOOKUP(G231&amp;$W$3,BS_CONTROLE[CHAVE],BS_CONTROLE[Quantidade_11],"-")</f>
        <v>800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1900</v>
      </c>
      <c r="W251" s="98">
        <f ca="1">_xlfn.XLOOKUP(G251&amp;$W$3,BS_CONTROLE[CHAVE],BS_CONTROLE[Quantidade_11],"-")</f>
        <v>800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 t="str">
        <f ca="1">_xlfn.XLOOKUP(G255&amp;$U$3,BS_CONTROLE[CHAVE],BS_CONTROLE[Quantidade_11],"-")</f>
        <v>-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1900</v>
      </c>
      <c r="W259" s="98">
        <f ca="1">_xlfn.XLOOKUP(G259&amp;$W$3,BS_CONTROLE[CHAVE],BS_CONTROLE[Quantidade_11],"-")</f>
        <v>800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 t="str">
        <f ca="1">_xlfn.XLOOKUP(G265&amp;$U$3,BS_CONTROLE[CHAVE],BS_CONTROLE[Quantidade_11],"-")</f>
        <v>-</v>
      </c>
      <c r="V265" s="98">
        <f ca="1">_xlfn.XLOOKUP(G265&amp;$V$3,BS_CONTROLE[CHAVE],BS_CONTROLE[Quantidade_11],"-")</f>
        <v>220</v>
      </c>
      <c r="W265" s="98">
        <f ca="1">_xlfn.XLOOKUP(G265&amp;$W$3,BS_CONTROLE[CHAVE],BS_CONTROLE[Quantidade_11],"-")</f>
        <v>210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1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4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1900</v>
      </c>
      <c r="W280" s="98">
        <f ca="1">_xlfn.XLOOKUP(G280&amp;$W$3,BS_CONTROLE[CHAVE],BS_CONTROLE[Quantidade_11],"-")</f>
        <v>800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 t="str">
        <f ca="1">_xlfn.XLOOKUP(G297&amp;$U$3,BS_CONTROLE[CHAVE],BS_CONTROLE[Quantidade_11],"-")</f>
        <v>-</v>
      </c>
      <c r="V297" s="98">
        <f ca="1">_xlfn.XLOOKUP(G297&amp;$V$3,BS_CONTROLE[CHAVE],BS_CONTROLE[Quantidade_11],"-")</f>
        <v>220</v>
      </c>
      <c r="W297" s="98">
        <f ca="1">_xlfn.XLOOKUP(G297&amp;$W$3,BS_CONTROLE[CHAVE],BS_CONTROLE[Quantidade_11],"-")</f>
        <v>210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4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 t="str">
        <f ca="1">_xlfn.XLOOKUP(G300&amp;$U$3,BS_CONTROLE[CHAVE],BS_CONTROLE[Quantidade_11],"-")</f>
        <v>-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1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1900</v>
      </c>
      <c r="W306" s="98">
        <f ca="1">_xlfn.XLOOKUP(G306&amp;$W$3,BS_CONTROLE[CHAVE],BS_CONTROLE[Quantidade_11],"-")</f>
        <v>800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>
        <f ca="1">_xlfn.XLOOKUP(G308&amp;$W$3,BS_CONTROLE[CHAVE],BS_CONTROLE[Quantidade_11],"-")</f>
        <v>0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 t="str">
        <f ca="1">_xlfn.XLOOKUP(G312&amp;$U$3,BS_CONTROLE[CHAVE],BS_CONTROLE[Quantidade_11],"-")</f>
        <v>-</v>
      </c>
      <c r="V312" s="98">
        <f ca="1">_xlfn.XLOOKUP(G312&amp;$V$3,BS_CONTROLE[CHAVE],BS_CONTROLE[Quantidade_11],"-")</f>
        <v>220</v>
      </c>
      <c r="W312" s="98">
        <f ca="1">_xlfn.XLOOKUP(G312&amp;$W$3,BS_CONTROLE[CHAVE],BS_CONTROLE[Quantidade_11],"-")</f>
        <v>210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 t="str">
        <f ca="1">_xlfn.XLOOKUP(G316&amp;$U$3,BS_CONTROLE[CHAVE],BS_CONTROLE[Quantidade_11],"-")</f>
        <v>-</v>
      </c>
      <c r="V316" s="98">
        <f ca="1">_xlfn.XLOOKUP(G316&amp;$V$3,BS_CONTROLE[CHAVE],BS_CONTROLE[Quantidade_11],"-")</f>
        <v>0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>
        <f ca="1">_xlfn.XLOOKUP(G319&amp;$W$3,BS_CONTROLE[CHAVE],BS_CONTROLE[Quantidade_11],"-")</f>
        <v>13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 t="str">
        <f ca="1">_xlfn.XLOOKUP(G320&amp;$U$3,BS_CONTROLE[CHAVE],BS_CONTROLE[Quantidade_11],"-")</f>
        <v>-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2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4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0</v>
      </c>
      <c r="V326" s="98">
        <f ca="1">_xlfn.XLOOKUP(G326&amp;$V$3,BS_CONTROLE[CHAVE],BS_CONTROLE[Quantidade_11],"-")</f>
        <v>1900</v>
      </c>
      <c r="W326" s="98">
        <f ca="1">_xlfn.XLOOKUP(G326&amp;$W$3,BS_CONTROLE[CHAVE],BS_CONTROLE[Quantidade_11],"-")</f>
        <v>800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>
        <f ca="1">_xlfn.XLOOKUP(G328&amp;$W$3,BS_CONTROLE[CHAVE],BS_CONTROLE[Quantidade_11],"-")</f>
        <v>0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>
        <f ca="1">_xlfn.XLOOKUP(G330&amp;$V$3,BS_CONTROLE[CHAVE],BS_CONTROLE[Quantidade_11],"-")</f>
        <v>0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 t="str">
        <f ca="1">_xlfn.XLOOKUP(G332&amp;$U$3,BS_CONTROLE[CHAVE],BS_CONTROLE[Quantidade_11],"-")</f>
        <v>-</v>
      </c>
      <c r="V332" s="98">
        <f ca="1">_xlfn.XLOOKUP(G332&amp;$V$3,BS_CONTROLE[CHAVE],BS_CONTROLE[Quantidade_11],"-")</f>
        <v>220</v>
      </c>
      <c r="W332" s="98">
        <f ca="1">_xlfn.XLOOKUP(G332&amp;$W$3,BS_CONTROLE[CHAVE],BS_CONTROLE[Quantidade_11],"-")</f>
        <v>210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 t="str">
        <f ca="1">_xlfn.XLOOKUP(G340&amp;$U$3,BS_CONTROLE[CHAVE],BS_CONTROLE[Quantidade_11],"-")</f>
        <v>-</v>
      </c>
      <c r="V340" s="98">
        <f ca="1">_xlfn.XLOOKUP(G340&amp;$V$3,BS_CONTROLE[CHAVE],BS_CONTROLE[Quantidade_11],"-")</f>
        <v>0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 t="str">
        <f ca="1">_xlfn.XLOOKUP(G341&amp;$U$3,BS_CONTROLE[CHAVE],BS_CONTROLE[Quantidade_11],"-")</f>
        <v>-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>
        <f ca="1">_xlfn.XLOOKUP(G342&amp;$V$3,BS_CONTROLE[CHAVE],BS_CONTROLE[Quantidade_11],"-")</f>
        <v>12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1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2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4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0</v>
      </c>
      <c r="V348" s="98">
        <f ca="1">_xlfn.XLOOKUP(G348&amp;$V$3,BS_CONTROLE[CHAVE],BS_CONTROLE[Quantidade_11],"-")</f>
        <v>1900</v>
      </c>
      <c r="W348" s="98">
        <f ca="1">_xlfn.XLOOKUP(G348&amp;$W$3,BS_CONTROLE[CHAVE],BS_CONTROLE[Quantidade_11],"-")</f>
        <v>800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>
        <f ca="1">_xlfn.XLOOKUP(G349&amp;$U$3,BS_CONTROLE[CHAVE],BS_CONTROLE[Quantidade_11],"-")</f>
        <v>0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1</v>
      </c>
      <c r="V350" s="98">
        <f ca="1">_xlfn.XLOOKUP(G350&amp;$V$3,BS_CONTROLE[CHAVE],BS_CONTROLE[Quantidade_11],"-")</f>
        <v>2</v>
      </c>
      <c r="W350" s="98">
        <f ca="1">_xlfn.XLOOKUP(G350&amp;$W$3,BS_CONTROLE[CHAVE],BS_CONTROLE[Quantidade_11],"-")</f>
        <v>0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>
        <f ca="1">_xlfn.XLOOKUP(G356&amp;$U$3,BS_CONTROLE[CHAVE],BS_CONTROLE[Quantidade_11],"-")</f>
        <v>2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>
        <f ca="1">_xlfn.XLOOKUP(G360&amp;$V$3,BS_CONTROLE[CHAVE],BS_CONTROLE[Quantidade_11],"-")</f>
        <v>0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>
        <f ca="1">_xlfn.XLOOKUP(G362&amp;$U$3,BS_CONTROLE[CHAVE],BS_CONTROLE[Quantidade_11],"-")</f>
        <v>0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2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4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1</v>
      </c>
      <c r="V365" s="98">
        <f ca="1">_xlfn.XLOOKUP(G365&amp;$V$3,BS_CONTROLE[CHAVE],BS_CONTROLE[Quantidade_11],"-")</f>
        <v>2</v>
      </c>
      <c r="W365" s="98">
        <f ca="1">_xlfn.XLOOKUP(G365&amp;$W$3,BS_CONTROLE[CHAVE],BS_CONTROLE[Quantidade_11],"-")</f>
        <v>0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0</v>
      </c>
      <c r="V366" s="98">
        <f ca="1">_xlfn.XLOOKUP(G366&amp;$V$3,BS_CONTROLE[CHAVE],BS_CONTROLE[Quantidade_11],"-")</f>
        <v>1900</v>
      </c>
      <c r="W366" s="98">
        <f ca="1">_xlfn.XLOOKUP(G366&amp;$W$3,BS_CONTROLE[CHAVE],BS_CONTROLE[Quantidade_11],"-")</f>
        <v>800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IF(FN_MC!Y341="","*",FN_MC!Y341)</f>
        <v>OPORTUNIDADE</v>
      </c>
      <c r="B368" s="95" t="str">
        <f>IF(FN_MC!X341="","*",FN_MC!X341)</f>
        <v>Oportunidade</v>
      </c>
      <c r="C368" s="95" t="str">
        <f>IF(FN_MC!Z341="","*",FN_MC!Z341)</f>
        <v>*</v>
      </c>
      <c r="D368" s="96" t="str">
        <f>IF(FN_MC!S341="","*",FN_MC!S341)</f>
        <v>FERRONORTE</v>
      </c>
      <c r="E368" s="96" t="str">
        <f>IF(FN_MC!T341="","*",FN_MC!T341)</f>
        <v>TMI-TCS</v>
      </c>
      <c r="F368" s="96">
        <f>IF(FN_MC!B341="","*",FN_MC!B341)</f>
        <v>46081</v>
      </c>
      <c r="G368" s="96" t="str">
        <f>IF(FN_MC!D341="","*",FN_MC!D341)</f>
        <v>V48</v>
      </c>
      <c r="H368" s="96" t="str">
        <f>IF(FN_MC!F341="","*",FN_MC!F341)</f>
        <v>MODERNIZAÇÃO - SOCADORA</v>
      </c>
      <c r="I368" s="96" t="str">
        <f>IF(FN_MC!H341="","*",FN_MC!H341)</f>
        <v>TVI</v>
      </c>
      <c r="J368" s="96" t="str">
        <f>IF(FN_MC!I341="","*",FN_MC!I341)</f>
        <v>TVI</v>
      </c>
      <c r="K368" s="96" t="str">
        <f>IF(FN_MC!M341="","*",FN_MC!M341)</f>
        <v>TVI-TJA</v>
      </c>
      <c r="L368" s="186" t="str">
        <f>IF(FN_MC!N341="","*",FN_MC!N341)</f>
        <v>TVI239/239251</v>
      </c>
      <c r="M368" s="97">
        <f>IF(FN_MC!J341="","*",FN_MC!J341)</f>
        <v>74</v>
      </c>
      <c r="N368" s="173">
        <f>IF(FN_MC!K341="","*",FN_MC!K341)</f>
        <v>237.827</v>
      </c>
      <c r="O368" s="173">
        <f>IF(FN_MC!L341="","*",FN_MC!L341)</f>
        <v>239.64500000000001</v>
      </c>
      <c r="P368" s="107">
        <f>IF(FN_MC!O341="","*",FN_MC!O341)</f>
        <v>0.375</v>
      </c>
      <c r="Q368" s="107">
        <f>IF(FN_MC!P341="","*",FN_MC!P341)</f>
        <v>6.25E-2</v>
      </c>
      <c r="R368" s="96" t="str">
        <f>IF(FN_MC!Q341="","*",CONCATENATE(FN_MC!Q341," ",FN_MC!R341))</f>
        <v>500 M</v>
      </c>
      <c r="S368" s="96" t="str">
        <f>IF(FN_MC!V341="","*",FN_MC!V341)</f>
        <v>Augusto/ Efraim</v>
      </c>
      <c r="T368" s="96" t="str">
        <f>IF(FN_MC!W341="","*",FN_MC!W341)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OPORTUNIDADE</v>
      </c>
      <c r="B370" s="95" t="str">
        <f>IF(FN_MC!X343="","*",FN_MC!X343)</f>
        <v>Oportunidade</v>
      </c>
      <c r="C370" s="95" t="str">
        <f>IF(FN_MC!Z343="","*",FN_MC!Z343)</f>
        <v>*</v>
      </c>
      <c r="D370" s="96" t="str">
        <f>IF(FN_MC!S343="","*",FN_MC!S343)</f>
        <v>FERRONORTE</v>
      </c>
      <c r="E370" s="96" t="str">
        <f>IF(FN_MC!T343="","*",FN_MC!T343)</f>
        <v>TMI-TCS</v>
      </c>
      <c r="F370" s="96">
        <f>IF(FN_MC!B343="","*",FN_MC!B343)</f>
        <v>46081</v>
      </c>
      <c r="G370" s="96" t="str">
        <f>IF(FN_MC!D343="","*",FN_MC!D343)</f>
        <v>MARCOS (TF-520)</v>
      </c>
      <c r="H370" s="96" t="str">
        <f>IF(FN_MC!F343="","*",FN_MC!F343)</f>
        <v>PDM - SOLDA</v>
      </c>
      <c r="I370" s="96" t="str">
        <f>IF(FN_MC!H343="","*",FN_MC!H343)</f>
        <v>-</v>
      </c>
      <c r="J370" s="96" t="str">
        <f>IF(FN_MC!I343="","*",FN_MC!I343)</f>
        <v>-</v>
      </c>
      <c r="K370" s="96" t="str">
        <f>IF(FN_MC!M343="","*",FN_MC!M343)</f>
        <v>TLG-TQI</v>
      </c>
      <c r="L370" s="186" t="str">
        <f>IF(FN_MC!N343="","*",FN_MC!N343)</f>
        <v>K52TQI</v>
      </c>
      <c r="M370" s="97">
        <f>IF(FN_MC!J343="","*",FN_MC!J343)</f>
        <v>74</v>
      </c>
      <c r="N370" s="173">
        <f>IF(FN_MC!K343="","*",FN_MC!K343)</f>
        <v>54.6</v>
      </c>
      <c r="O370" s="173" t="str">
        <f>IF(FN_MC!L343="","*",FN_MC!L343)</f>
        <v>-</v>
      </c>
      <c r="P370" s="107">
        <f>IF(FN_MC!O343="","*",FN_MC!O343)</f>
        <v>0.375</v>
      </c>
      <c r="Q370" s="107">
        <f>IF(FN_MC!P343="","*",FN_MC!P343)</f>
        <v>8.3333333333333329E-2</v>
      </c>
      <c r="R370" s="96" t="str">
        <f>IF(FN_MC!Q343="","*",CONCATENATE(FN_MC!Q343," ",FN_MC!R343))</f>
        <v>1 Nº DE SOLDA</v>
      </c>
      <c r="S370" s="96" t="str">
        <f>IF(FN_MC!V343="","*",FN_MC!V343)</f>
        <v>Marcos Euzebio</v>
      </c>
      <c r="T370" s="96" t="str">
        <f>IF(FN_MC!W343="","*",FN_MC!W343)</f>
        <v xml:space="preserve">Execução de solda  e troca de trilho - Condicionado a temperatura </v>
      </c>
      <c r="U370" s="98" t="str">
        <f ca="1">_xlfn.XLOOKUP(G370&amp;$U$3,BS_CONTROLE[CHAVE],BS_CONTROLE[Quantidade_11],"-")</f>
        <v>-</v>
      </c>
      <c r="V370" s="98">
        <f ca="1">_xlfn.XLOOKUP(G370&amp;$V$3,BS_CONTROLE[CHAVE],BS_CONTROLE[Quantidade_11],"-")</f>
        <v>0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OPORTUNIDADE</v>
      </c>
      <c r="B371" s="95" t="str">
        <f>IF(FN_MC!X344="","*",FN_MC!X344)</f>
        <v>Oportunidade</v>
      </c>
      <c r="C371" s="95" t="str">
        <f>IF(FN_MC!Z344="","*",FN_MC!Z344)</f>
        <v>*</v>
      </c>
      <c r="D371" s="96" t="str">
        <f>IF(FN_MC!S344="","*",FN_MC!S344)</f>
        <v>MALHA CENTRAL</v>
      </c>
      <c r="E371" s="96" t="str">
        <f>IF(FN_MC!T344="","*",FN_MC!T344)</f>
        <v>PRV-POV</v>
      </c>
      <c r="F371" s="96">
        <f>IF(FN_MC!B344="","*",FN_MC!B344)</f>
        <v>46081</v>
      </c>
      <c r="G371" s="96" t="str">
        <f>IF(FN_MC!D344="","*",FN_MC!D344)</f>
        <v>E14</v>
      </c>
      <c r="H371" s="96" t="str">
        <f>IF(FN_MC!F344="","*",FN_MC!F344)</f>
        <v>MECANIZAÇÃO - ESMERILHADORA</v>
      </c>
      <c r="I371" s="96" t="str">
        <f>IF(FN_MC!H344="","*",FN_MC!H344)</f>
        <v>PQI2</v>
      </c>
      <c r="J371" s="96" t="str">
        <f>IF(FN_MC!I344="","*",FN_MC!I344)</f>
        <v>PPR3</v>
      </c>
      <c r="K371" s="96" t="str">
        <f>IF(FN_MC!M344="","*",FN_MC!M344)</f>
        <v>PQI-PPR</v>
      </c>
      <c r="L371" s="186" t="str">
        <f>IF(FN_MC!N344="","*",FN_MC!N344)</f>
        <v>PQIPPR</v>
      </c>
      <c r="M371" s="97">
        <f>IF(FN_MC!J344="","*",FN_MC!J344)</f>
        <v>103</v>
      </c>
      <c r="N371" s="173">
        <f>IF(FN_MC!K344="","*",FN_MC!K344)</f>
        <v>1937</v>
      </c>
      <c r="O371" s="173">
        <f>IF(FN_MC!L344="","*",FN_MC!L344)</f>
        <v>1980</v>
      </c>
      <c r="P371" s="107">
        <f>IF(FN_MC!O344="","*",FN_MC!O344)</f>
        <v>0.99930555555555556</v>
      </c>
      <c r="Q371" s="107">
        <f>IF(FN_MC!P344="","*",FN_MC!P344)</f>
        <v>4.1666666666666664E-2</v>
      </c>
      <c r="R371" s="96" t="str">
        <f>IF(FN_MC!Q344="","*",CONCATENATE(FN_MC!Q344," ",FN_MC!R344))</f>
        <v>40000 M</v>
      </c>
      <c r="S371" s="96" t="str">
        <f>IF(FN_MC!V344="","*",FN_MC!V344)</f>
        <v>Fernanda</v>
      </c>
      <c r="T371" s="96" t="str">
        <f>IF(FN_MC!W344="","*",FN_MC!W344)</f>
        <v>Esmerilhamento</v>
      </c>
      <c r="U371" s="98" t="str">
        <f ca="1">_xlfn.XLOOKUP(G371&amp;$U$3,BS_CONTROLE[CHAVE],BS_CONTROLE[Quantidade_11],"-")</f>
        <v>-</v>
      </c>
      <c r="V371" s="98">
        <f ca="1">_xlfn.XLOOKUP(G371&amp;$V$3,BS_CONTROLE[CHAVE],BS_CONTROLE[Quantidade_11],"-")</f>
        <v>1</v>
      </c>
      <c r="W371" s="98">
        <f ca="1">_xlfn.XLOOKUP(G371&amp;$W$3,BS_CONTROLE[CHAVE],BS_CONTROLE[Quantidade_11],"-")</f>
        <v>0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OPORTUNIDADE</v>
      </c>
      <c r="B372" s="95" t="str">
        <f>IF(FN_MC!X345="","*",FN_MC!X345)</f>
        <v>Oportunidade</v>
      </c>
      <c r="C372" s="95" t="str">
        <f>IF(FN_MC!Z345="","*",FN_MC!Z345)</f>
        <v>*</v>
      </c>
      <c r="D372" s="96" t="str">
        <f>IF(FN_MC!S345="","*",FN_MC!S345)</f>
        <v>MALHA CENTRAL</v>
      </c>
      <c r="E372" s="96" t="str">
        <f>IF(FN_MC!T345="","*",FN_MC!T345)</f>
        <v>POV-PRV</v>
      </c>
      <c r="F372" s="96">
        <f>IF(FN_MC!B345="","*",FN_MC!B345)</f>
        <v>46081</v>
      </c>
      <c r="G372" s="96" t="str">
        <f>IF(FN_MC!D345="","*",FN_MC!D345)</f>
        <v xml:space="preserve">TURMA FIXA VIA </v>
      </c>
      <c r="H372" s="96" t="str">
        <f>IF(FN_MC!F345="","*",FN_MC!F345)</f>
        <v>PDM - SUBSTITUIÇÃO - TRILHO</v>
      </c>
      <c r="I372" s="96" t="str">
        <f>IF(FN_MC!H345="","*",FN_MC!H345)</f>
        <v>-</v>
      </c>
      <c r="J372" s="96" t="str">
        <f>IF(FN_MC!I345="","*",FN_MC!I345)</f>
        <v>-</v>
      </c>
      <c r="K372" s="96" t="str">
        <f>IF(FN_MC!M345="","*",FN_MC!M345)</f>
        <v>PNV</v>
      </c>
      <c r="L372" s="186" t="str">
        <f>IF(FN_MC!N345="","*",FN_MC!N345)</f>
        <v>PNV1</v>
      </c>
      <c r="M372" s="97">
        <f>IF(FN_MC!J345="","*",FN_MC!J345)</f>
        <v>103</v>
      </c>
      <c r="N372" s="173">
        <f>IF(FN_MC!K345="","*",FN_MC!K345)</f>
        <v>1538.962</v>
      </c>
      <c r="O372" s="173" t="str">
        <f>IF(FN_MC!L345="","*",FN_MC!L345)</f>
        <v>-</v>
      </c>
      <c r="P372" s="107">
        <f>IF(FN_MC!O345="","*",FN_MC!O345)</f>
        <v>0.375</v>
      </c>
      <c r="Q372" s="107">
        <f>IF(FN_MC!P345="","*",FN_MC!P345)</f>
        <v>0.125</v>
      </c>
      <c r="R372" s="96" t="str">
        <f>IF(FN_MC!Q345="","*",CONCATENATE(FN_MC!Q345," ",FN_MC!R345))</f>
        <v>312 M</v>
      </c>
      <c r="S372" s="96" t="str">
        <f>IF(FN_MC!V345="","*",FN_MC!V345)</f>
        <v>Gilmar/Lewender</v>
      </c>
      <c r="T372" s="96" t="str">
        <f>IF(FN_MC!W345="","*",FN_MC!W345)</f>
        <v xml:space="preserve">Substituição de trilho </v>
      </c>
      <c r="U372" s="98" t="str">
        <f ca="1">_xlfn.XLOOKUP(G372&amp;$U$3,BS_CONTROLE[CHAVE],BS_CONTROLE[Quantidade_11],"-")</f>
        <v>-</v>
      </c>
      <c r="V372" s="98">
        <f ca="1">_xlfn.XLOOKUP(G372&amp;$V$3,BS_CONTROLE[CHAVE],BS_CONTROLE[Quantidade_11],"-")</f>
        <v>12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Oportunidade</v>
      </c>
      <c r="C374" s="95" t="str">
        <f>IF(FN_MC!Z347="","*",FN_MC!Z347)</f>
        <v>*</v>
      </c>
      <c r="D374" s="96" t="str">
        <f>IF(FN_MC!S347="","*",FN_MC!S347)</f>
        <v>FERRONORTE</v>
      </c>
      <c r="E374" s="96" t="str">
        <f>IF(FN_MC!T347="","*",FN_MC!T347)</f>
        <v>TMI-TCS</v>
      </c>
      <c r="F374" s="96" t="str">
        <f>IF(FN_MC!B347="","*",FN_MC!B347)</f>
        <v>*</v>
      </c>
      <c r="G374" s="96" t="str">
        <f>IF(FN_MC!D347="","*",FN_MC!D347)</f>
        <v>V86</v>
      </c>
      <c r="H374" s="96" t="str">
        <f>IF(FN_MC!F347="","*",FN_MC!F347)</f>
        <v>MECANIZAÇÃO - SOCADORA</v>
      </c>
      <c r="I374" s="96" t="str">
        <f>IF(FN_MC!H347="","*",FN_MC!H347)</f>
        <v>-</v>
      </c>
      <c r="J374" s="96" t="str">
        <f>IF(FN_MC!I347="","*",FN_MC!I347)</f>
        <v>-</v>
      </c>
      <c r="K374" s="96" t="str">
        <f>IF(FN_MC!M347="","*",FN_MC!M347)</f>
        <v>TAP-TLG</v>
      </c>
      <c r="L374" s="186" t="str">
        <f>IF(FN_MC!N347="","*",FN_MC!N347)</f>
        <v>TAPK35</v>
      </c>
      <c r="M374" s="97">
        <f>IF(FN_MC!J347="","*",FN_MC!J347)</f>
        <v>74</v>
      </c>
      <c r="N374" s="173">
        <f>IF(FN_MC!K347="","*",FN_MC!K347)</f>
        <v>27.43</v>
      </c>
      <c r="O374" s="173" t="str">
        <f>IF(FN_MC!L347="","*",FN_MC!L347)</f>
        <v>-</v>
      </c>
      <c r="P374" s="107">
        <f>IF(FN_MC!O347="","*",FN_MC!O347)</f>
        <v>0.41666666666666669</v>
      </c>
      <c r="Q374" s="107">
        <f>IF(FN_MC!P347="","*",FN_MC!P347)</f>
        <v>6.25E-2</v>
      </c>
      <c r="R374" s="96" t="str">
        <f>IF(FN_MC!Q347="","*",CONCATENATE(FN_MC!Q347," ",FN_MC!R347))</f>
        <v>1 M</v>
      </c>
      <c r="S374" s="96" t="str">
        <f>IF(FN_MC!V347="","*",FN_MC!V347)</f>
        <v>Marcos Euzebio</v>
      </c>
      <c r="T374" s="96" t="str">
        <f>IF(FN_MC!W347="","*",FN_MC!W347)</f>
        <v xml:space="preserve">Execução de solda - Condicionado a temperatura </v>
      </c>
      <c r="U374" s="98">
        <f ca="1">_xlfn.XLOOKUP(G374&amp;$U$3,BS_CONTROLE[CHAVE],BS_CONTROLE[Quantidade_11],"-")</f>
        <v>0</v>
      </c>
      <c r="V374" s="98">
        <f ca="1">_xlfn.XLOOKUP(G374&amp;$V$3,BS_CONTROLE[CHAVE],BS_CONTROLE[Quantidade_11],"-")</f>
        <v>1900</v>
      </c>
      <c r="W374" s="98">
        <f ca="1">_xlfn.XLOOKUP(G374&amp;$W$3,BS_CONTROLE[CHAVE],BS_CONTROLE[Quantidade_11],"-")</f>
        <v>800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Oportunidade</v>
      </c>
      <c r="C376" s="95" t="str">
        <f>IF(FN_MC!Z349="","*",FN_MC!Z349)</f>
        <v>*</v>
      </c>
      <c r="D376" s="96" t="str">
        <f>IF(FN_MC!S349="","*",FN_MC!S349)</f>
        <v>FERRONORTE</v>
      </c>
      <c r="E376" s="96" t="str">
        <f>IF(FN_MC!T349="","*",FN_MC!T349)</f>
        <v>TMI-TCS</v>
      </c>
      <c r="F376" s="96" t="str">
        <f>IF(FN_MC!B349="","*",FN_MC!B349)</f>
        <v>*</v>
      </c>
      <c r="G376" s="96" t="str">
        <f>IF(FN_MC!D349="","*",FN_MC!D349)</f>
        <v>V48</v>
      </c>
      <c r="H376" s="96" t="str">
        <f>IF(FN_MC!F349="","*",FN_MC!F349)</f>
        <v>MODERNIZAÇÃO - SOCADORA</v>
      </c>
      <c r="I376" s="96" t="str">
        <f>IF(FN_MC!H349="","*",FN_MC!H349)</f>
        <v>TVI</v>
      </c>
      <c r="J376" s="96" t="str">
        <f>IF(FN_MC!I349="","*",FN_MC!I349)</f>
        <v>TVI</v>
      </c>
      <c r="K376" s="96" t="str">
        <f>IF(FN_MC!M349="","*",FN_MC!M349)</f>
        <v>TVI-TJA</v>
      </c>
      <c r="L376" s="186" t="str">
        <f>IF(FN_MC!N349="","*",FN_MC!N349)</f>
        <v>TVI239/239251</v>
      </c>
      <c r="M376" s="97">
        <f>IF(FN_MC!J349="","*",FN_MC!J349)</f>
        <v>74</v>
      </c>
      <c r="N376" s="173">
        <f>IF(FN_MC!K349="","*",FN_MC!K349)</f>
        <v>237.827</v>
      </c>
      <c r="O376" s="173">
        <f>IF(FN_MC!L349="","*",FN_MC!L349)</f>
        <v>239.64500000000001</v>
      </c>
      <c r="P376" s="107">
        <f>IF(FN_MC!O349="","*",FN_MC!O349)</f>
        <v>0.375</v>
      </c>
      <c r="Q376" s="107">
        <f>IF(FN_MC!P349="","*",FN_MC!P349)</f>
        <v>6.25E-2</v>
      </c>
      <c r="R376" s="96" t="str">
        <f>IF(FN_MC!Q349="","*",CONCATENATE(FN_MC!Q349," ",FN_MC!R349))</f>
        <v>500 M</v>
      </c>
      <c r="S376" s="96" t="str">
        <f>IF(FN_MC!V349="","*",FN_MC!V349)</f>
        <v>Gilmar/Lewender</v>
      </c>
      <c r="T376" s="96" t="str">
        <f>IF(FN_MC!W349="","*",FN_MC!W349)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Oportunidade</v>
      </c>
      <c r="C377" s="95" t="str">
        <f>IF(FN_MC!Z350="","*",FN_MC!Z350)</f>
        <v>*</v>
      </c>
      <c r="D377" s="96" t="str">
        <f>IF(FN_MC!S350="","*",FN_MC!S350)</f>
        <v>MALHA CENTRAL</v>
      </c>
      <c r="E377" s="96" t="str">
        <f>IF(FN_MC!T350="","*",FN_MC!T350)</f>
        <v>PRV-POV</v>
      </c>
      <c r="F377" s="96" t="str">
        <f>IF(FN_MC!B350="","*",FN_MC!B350)</f>
        <v>*</v>
      </c>
      <c r="G377" s="96" t="str">
        <f>IF(FN_MC!D350="","*",FN_MC!D350)</f>
        <v>E14</v>
      </c>
      <c r="H377" s="96" t="str">
        <f>IF(FN_MC!F350="","*",FN_MC!F350)</f>
        <v>MECANIZAÇÃO - ESMERILHADORA</v>
      </c>
      <c r="I377" s="96" t="str">
        <f>IF(FN_MC!H350="","*",FN_MC!H350)</f>
        <v>PPR2</v>
      </c>
      <c r="J377" s="96" t="str">
        <f>IF(FN_MC!I350="","*",FN_MC!I350)</f>
        <v>PSS2</v>
      </c>
      <c r="K377" s="96" t="str">
        <f>IF(FN_MC!M350="","*",FN_MC!M350)</f>
        <v>PPR-PSS</v>
      </c>
      <c r="L377" s="186" t="str">
        <f>IF(FN_MC!N350="","*",FN_MC!N350)</f>
        <v>PPRPSS</v>
      </c>
      <c r="M377" s="97">
        <f>IF(FN_MC!J350="","*",FN_MC!J350)</f>
        <v>103</v>
      </c>
      <c r="N377" s="173">
        <f>IF(FN_MC!K350="","*",FN_MC!K350)</f>
        <v>1980</v>
      </c>
      <c r="O377" s="173">
        <f>IF(FN_MC!L350="","*",FN_MC!L350)</f>
        <v>2029</v>
      </c>
      <c r="P377" s="107">
        <f>IF(FN_MC!O350="","*",FN_MC!O350)</f>
        <v>0.99930555555555556</v>
      </c>
      <c r="Q377" s="107">
        <f>IF(FN_MC!P350="","*",FN_MC!P350)</f>
        <v>4.1666666666666664E-2</v>
      </c>
      <c r="R377" s="96" t="str">
        <f>IF(FN_MC!Q350="","*",CONCATENATE(FN_MC!Q350," ",FN_MC!R350))</f>
        <v>40000 M</v>
      </c>
      <c r="S377" s="96" t="str">
        <f>IF(FN_MC!V350="","*",FN_MC!V350)</f>
        <v>Fernanda</v>
      </c>
      <c r="T377" s="96" t="str">
        <f>IF(FN_MC!W350="","*",FN_MC!W350)</f>
        <v>Esmerilhamento</v>
      </c>
      <c r="U377" s="98" t="str">
        <f ca="1">_xlfn.XLOOKUP(G377&amp;$U$3,BS_CONTROLE[CHAVE],BS_CONTROLE[Quantidade_11],"-")</f>
        <v>-</v>
      </c>
      <c r="V377" s="98">
        <f ca="1">_xlfn.XLOOKUP(G377&amp;$V$3,BS_CONTROLE[CHAVE],BS_CONTROLE[Quantidade_11],"-")</f>
        <v>1</v>
      </c>
      <c r="W377" s="98">
        <f ca="1">_xlfn.XLOOKUP(G377&amp;$W$3,BS_CONTROLE[CHAVE],BS_CONTROLE[Quantidade_11],"-")</f>
        <v>0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Oportunidade</v>
      </c>
      <c r="C380" s="95" t="str">
        <f>IF(FN_MC!Z353="","*",FN_MC!Z353)</f>
        <v>*</v>
      </c>
      <c r="D380" s="96" t="str">
        <f>IF(FN_MC!S353="","*",FN_MC!S353)</f>
        <v>FERRONORTE</v>
      </c>
      <c r="E380" s="96" t="str">
        <f>IF(FN_MC!T353="","*",FN_MC!T353)</f>
        <v>TGR-TRO</v>
      </c>
      <c r="F380" s="96" t="str">
        <f>IF(FN_MC!B353="","*",FN_MC!B353)</f>
        <v>*</v>
      </c>
      <c r="G380" s="96" t="str">
        <f>IF(FN_MC!D353="","*",FN_MC!D353)</f>
        <v>V86</v>
      </c>
      <c r="H380" s="96" t="str">
        <f>IF(FN_MC!F353="","*",FN_MC!F353)</f>
        <v>MECANIZAÇÃO - SOCADORA</v>
      </c>
      <c r="I380" s="96" t="str">
        <f>IF(FN_MC!H353="","*",FN_MC!H353)</f>
        <v>TIQ2</v>
      </c>
      <c r="J380" s="96" t="str">
        <f>IF(FN_MC!I353="","*",FN_MC!I353)</f>
        <v>TIQ2</v>
      </c>
      <c r="K380" s="96" t="str">
        <f>IF(FN_MC!M353="","*",FN_MC!M353)</f>
        <v>TBS-TAL</v>
      </c>
      <c r="L380" s="186" t="str">
        <f>IF(FN_MC!N353="","*",FN_MC!N353)</f>
        <v>TBS671</v>
      </c>
      <c r="M380" s="97">
        <f>IF(FN_MC!J353="","*",FN_MC!J353)</f>
        <v>98</v>
      </c>
      <c r="N380" s="173">
        <f>IF(FN_MC!K353="","*",FN_MC!K353)</f>
        <v>664</v>
      </c>
      <c r="O380" s="173">
        <f>IF(FN_MC!L353="","*",FN_MC!L353)</f>
        <v>667</v>
      </c>
      <c r="P380" s="107">
        <f>IF(FN_MC!O353="","*",FN_MC!O353)</f>
        <v>0.41666666666666669</v>
      </c>
      <c r="Q380" s="107">
        <f>IF(FN_MC!P353="","*",FN_MC!P353)</f>
        <v>6.25E-2</v>
      </c>
      <c r="R380" s="96" t="str">
        <f>IF(FN_MC!Q353="","*",CONCATENATE(FN_MC!Q353," ",FN_MC!R353))</f>
        <v>840 M</v>
      </c>
      <c r="S380" s="96" t="str">
        <f>IF(FN_MC!V353="","*",FN_MC!V353)</f>
        <v>Antonioni</v>
      </c>
      <c r="T380" s="96" t="str">
        <f>IF(FN_MC!W353="","*",FN_MC!W353)</f>
        <v>Socaria mecanizada (condicionado a liberação do RDC)</v>
      </c>
      <c r="U380" s="98">
        <f ca="1">_xlfn.XLOOKUP(G380&amp;$U$3,BS_CONTROLE[CHAVE],BS_CONTROLE[Quantidade_11],"-")</f>
        <v>0</v>
      </c>
      <c r="V380" s="98">
        <f ca="1">_xlfn.XLOOKUP(G380&amp;$V$3,BS_CONTROLE[CHAVE],BS_CONTROLE[Quantidade_11],"-")</f>
        <v>1900</v>
      </c>
      <c r="W380" s="98">
        <f ca="1">_xlfn.XLOOKUP(G380&amp;$W$3,BS_CONTROLE[CHAVE],BS_CONTROLE[Quantidade_11],"-")</f>
        <v>800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Oportunidade</v>
      </c>
      <c r="C382" s="95" t="str">
        <f>IF(FN_MC!Z355="","*",FN_MC!Z355)</f>
        <v>*</v>
      </c>
      <c r="D382" s="96" t="str">
        <f>IF(FN_MC!S355="","*",FN_MC!S355)</f>
        <v>FERRONORTE</v>
      </c>
      <c r="E382" s="96" t="str">
        <f>IF(FN_MC!T355="","*",FN_MC!T355)</f>
        <v>TCS-TGR</v>
      </c>
      <c r="F382" s="96" t="str">
        <f>IF(FN_MC!B355="","*",FN_MC!B355)</f>
        <v>*</v>
      </c>
      <c r="G382" s="96" t="str">
        <f>IF(FN_MC!D355="","*",FN_MC!D355)</f>
        <v>W70</v>
      </c>
      <c r="H382" s="96" t="str">
        <f>IF(FN_MC!F355="","*",FN_MC!F355)</f>
        <v>PDM - PEDRA - DESCARGA</v>
      </c>
      <c r="I382" s="96" t="str">
        <f>IF(FN_MC!H355="","*",FN_MC!H355)</f>
        <v>TAG2</v>
      </c>
      <c r="J382" s="96" t="str">
        <f>IF(FN_MC!I355="","*",FN_MC!I355)</f>
        <v>TAG2</v>
      </c>
      <c r="K382" s="96" t="str">
        <f>IF(FN_MC!M355="","*",FN_MC!M355)</f>
        <v>TBR-TGR</v>
      </c>
      <c r="L382" s="186" t="str">
        <f>IF(FN_MC!N355="","*",FN_MC!N355)</f>
        <v>499TGR1</v>
      </c>
      <c r="M382" s="97">
        <f>IF(FN_MC!J355="","*",FN_MC!J355)</f>
        <v>74</v>
      </c>
      <c r="N382" s="173">
        <f>IF(FN_MC!K355="","*",FN_MC!K355)</f>
        <v>499.1</v>
      </c>
      <c r="O382" s="173">
        <f>IF(FN_MC!L355="","*",FN_MC!L355)</f>
        <v>495</v>
      </c>
      <c r="P382" s="107">
        <f>IF(FN_MC!O355="","*",FN_MC!O355)</f>
        <v>0.41666666666666669</v>
      </c>
      <c r="Q382" s="107">
        <f>IF(FN_MC!P355="","*",FN_MC!P355)</f>
        <v>8.3333333333333329E-2</v>
      </c>
      <c r="R382" s="96" t="str">
        <f>IF(FN_MC!Q355="","*",CONCATENATE(FN_MC!Q355," ",FN_MC!R355))</f>
        <v>10 VAGÕES</v>
      </c>
      <c r="S382" s="96" t="str">
        <f>IF(FN_MC!V355="","*",FN_MC!V355)</f>
        <v>Elton</v>
      </c>
      <c r="T382" s="96" t="str">
        <f>IF(FN_MC!W355="","*",FN_MC!W355)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Contrato</v>
      </c>
      <c r="C384" s="95" t="str">
        <f>IF(FN_MC!Z357="","*",FN_MC!Z357)</f>
        <v>*</v>
      </c>
      <c r="D384" s="96" t="str">
        <f>IF(FN_MC!S357="","*",FN_MC!S357)</f>
        <v>FERRONORTE</v>
      </c>
      <c r="E384" s="96" t="str">
        <f>IF(FN_MC!T357="","*",FN_MC!T357)</f>
        <v>TCS-TGR</v>
      </c>
      <c r="F384" s="96" t="str">
        <f>IF(FN_MC!B357="","*",FN_MC!B357)</f>
        <v>*</v>
      </c>
      <c r="G384" s="96" t="str">
        <f>IF(FN_MC!D357="","*",FN_MC!D357)</f>
        <v>A60</v>
      </c>
      <c r="H384" s="96" t="str">
        <f>IF(FN_MC!F357="","*",FN_MC!F357)</f>
        <v>DETECÇÃO - RONDA 7 DIAS</v>
      </c>
      <c r="I384" s="96" t="str">
        <f>IF(FN_MC!H357="","*",FN_MC!H357)</f>
        <v>TCS291</v>
      </c>
      <c r="J384" s="96" t="str">
        <f>IF(FN_MC!I357="","*",FN_MC!I357)</f>
        <v>TIN1</v>
      </c>
      <c r="K384" s="96" t="str">
        <f>IF(FN_MC!M357="","*",FN_MC!M357)</f>
        <v>TCS-TIN</v>
      </c>
      <c r="L384" s="186" t="str">
        <f>IF(FN_MC!N357="","*",FN_MC!N357)</f>
        <v>TCSTIN</v>
      </c>
      <c r="M384" s="97">
        <f>IF(FN_MC!J357="","*",FN_MC!J357)</f>
        <v>74</v>
      </c>
      <c r="N384" s="173">
        <f>IF(FN_MC!K357="","*",FN_MC!K357)</f>
        <v>290.77</v>
      </c>
      <c r="O384" s="173" t="str">
        <f>IF(FN_MC!L357="","*",FN_MC!L357)</f>
        <v>-</v>
      </c>
      <c r="P384" s="107">
        <f>IF(FN_MC!O357="","*",FN_MC!O357)</f>
        <v>0.3125</v>
      </c>
      <c r="Q384" s="107">
        <f>IF(FN_MC!P357="","*",FN_MC!P357)</f>
        <v>4.1666666666666664E-2</v>
      </c>
      <c r="R384" s="96" t="str">
        <f>IF(FN_MC!Q357="","*",CONCATENATE(FN_MC!Q357," ",FN_MC!R357))</f>
        <v>180 KM</v>
      </c>
      <c r="S384" s="96" t="str">
        <f>IF(FN_MC!V357="","*",FN_MC!V357)</f>
        <v>Daniel</v>
      </c>
      <c r="T384" s="96" t="str">
        <f>IF(FN_MC!W357="","*",FN_MC!W357)</f>
        <v>Ronda 7 dias de TCS-TIN</v>
      </c>
      <c r="U384" s="98" t="str">
        <f ca="1">_xlfn.XLOOKUP(G384&amp;$U$3,BS_CONTROLE[CHAVE],BS_CONTROLE[Quantidade_11],"-")</f>
        <v>-</v>
      </c>
      <c r="V384" s="98">
        <f ca="1">_xlfn.XLOOKUP(G384&amp;$V$3,BS_CONTROLE[CHAVE],BS_CONTROLE[Quantidade_11],"-")</f>
        <v>220</v>
      </c>
      <c r="W384" s="98">
        <f ca="1">_xlfn.XLOOKUP(G384&amp;$W$3,BS_CONTROLE[CHAVE],BS_CONTROLE[Quantidade_11],"-")</f>
        <v>210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Oportunidade</v>
      </c>
      <c r="C385" s="95" t="str">
        <f>IF(FN_MC!Z358="","*",FN_MC!Z358)</f>
        <v>*</v>
      </c>
      <c r="D385" s="96" t="str">
        <f>IF(FN_MC!S358="","*",FN_MC!S358)</f>
        <v>FERRONORTE</v>
      </c>
      <c r="E385" s="96" t="str">
        <f>IF(FN_MC!T358="","*",FN_MC!T358)</f>
        <v>TMI-TCS</v>
      </c>
      <c r="F385" s="96" t="str">
        <f>IF(FN_MC!B358="","*",FN_MC!B358)</f>
        <v>*</v>
      </c>
      <c r="G385" s="96" t="str">
        <f>IF(FN_MC!D358="","*",FN_MC!D358)</f>
        <v>W50</v>
      </c>
      <c r="H385" s="96" t="str">
        <f>IF(FN_MC!F358="","*",FN_MC!F358)</f>
        <v>DESLOCAMENTO</v>
      </c>
      <c r="I385" s="96" t="str">
        <f>IF(FN_MC!H358="","*",FN_MC!H358)</f>
        <v xml:space="preserve">TCS2 </v>
      </c>
      <c r="J385" s="96" t="str">
        <f>IF(FN_MC!I358="","*",FN_MC!I358)</f>
        <v>TIN2</v>
      </c>
      <c r="K385" s="96" t="str">
        <f>IF(FN_MC!M358="","*",FN_MC!M358)</f>
        <v>TCS-TIN</v>
      </c>
      <c r="L385" s="186" t="str">
        <f>IF(FN_MC!N358="","*",FN_MC!N358)</f>
        <v>TCSTIN</v>
      </c>
      <c r="M385" s="97">
        <f>IF(FN_MC!J358="","*",FN_MC!J358)</f>
        <v>74</v>
      </c>
      <c r="N385" s="173">
        <f>IF(FN_MC!K358="","*",FN_MC!K358)</f>
        <v>290</v>
      </c>
      <c r="O385" s="173" t="str">
        <f>IF(FN_MC!L358="","*",FN_MC!L358)</f>
        <v>-</v>
      </c>
      <c r="P385" s="107">
        <f>IF(FN_MC!O358="","*",FN_MC!O358)</f>
        <v>0.52083333333333337</v>
      </c>
      <c r="Q385" s="107">
        <f>IF(FN_MC!P358="","*",FN_MC!P358)</f>
        <v>4.1666666666666664E-2</v>
      </c>
      <c r="R385" s="96" t="str">
        <f>IF(FN_MC!Q358="","*",CONCATENATE(FN_MC!Q358," ",FN_MC!R358))</f>
        <v>1 BINÁRIO</v>
      </c>
      <c r="S385" s="96" t="str">
        <f>IF(FN_MC!V358="","*",FN_MC!V358)</f>
        <v>Efrain</v>
      </c>
      <c r="T385" s="96" t="str">
        <f>IF(FN_MC!W358="","*",FN_MC!W358)</f>
        <v>Deslocamento para TIN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>
        <f ca="1">_xlfn.XLOOKUP(G385&amp;$W$3,BS_CONTROLE[CHAVE],BS_CONTROLE[Quantidade_11],"-")</f>
        <v>1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Oportunidade</v>
      </c>
      <c r="C386" s="95" t="str">
        <f>IF(FN_MC!Z359="","*",FN_MC!Z359)</f>
        <v>*</v>
      </c>
      <c r="D386" s="96" t="str">
        <f>IF(FN_MC!S359="","*",FN_MC!S359)</f>
        <v>FERRONORTE</v>
      </c>
      <c r="E386" s="96" t="str">
        <f>IF(FN_MC!T359="","*",FN_MC!T359)</f>
        <v>TCS-TGR</v>
      </c>
      <c r="F386" s="96" t="str">
        <f>IF(FN_MC!B359="","*",FN_MC!B359)</f>
        <v>*</v>
      </c>
      <c r="G386" s="96" t="str">
        <f>IF(FN_MC!D359="","*",FN_MC!D359)</f>
        <v>MARCOS (TF-520)</v>
      </c>
      <c r="H386" s="96" t="str">
        <f>IF(FN_MC!F359="","*",FN_MC!F359)</f>
        <v>PDM - SOLDA</v>
      </c>
      <c r="I386" s="96" t="str">
        <f>IF(FN_MC!H359="","*",FN_MC!H359)</f>
        <v>-</v>
      </c>
      <c r="J386" s="96" t="str">
        <f>IF(FN_MC!I359="","*",FN_MC!I359)</f>
        <v>-</v>
      </c>
      <c r="K386" s="96" t="str">
        <f>IF(FN_MC!M359="","*",FN_MC!M359)</f>
        <v>TCS-N</v>
      </c>
      <c r="L386" s="186" t="str">
        <f>IF(FN_MC!N359="","*",FN_MC!N359)</f>
        <v>TCSN</v>
      </c>
      <c r="M386" s="97">
        <f>IF(FN_MC!J359="","*",FN_MC!J359)</f>
        <v>74</v>
      </c>
      <c r="N386" s="173">
        <f>IF(FN_MC!K359="","*",FN_MC!K359)</f>
        <v>290.75900000000001</v>
      </c>
      <c r="O386" s="173" t="str">
        <f>IF(FN_MC!L359="","*",FN_MC!L359)</f>
        <v>-</v>
      </c>
      <c r="P386" s="107">
        <f>IF(FN_MC!O359="","*",FN_MC!O359)</f>
        <v>0.375</v>
      </c>
      <c r="Q386" s="107">
        <f>IF(FN_MC!P359="","*",FN_MC!P359)</f>
        <v>6.25E-2</v>
      </c>
      <c r="R386" s="96" t="str">
        <f>IF(FN_MC!Q359="","*",CONCATENATE(FN_MC!Q359," ",FN_MC!R359))</f>
        <v>1 Nº DE SOLDA</v>
      </c>
      <c r="S386" s="96" t="str">
        <f>IF(FN_MC!V359="","*",FN_MC!V359)</f>
        <v>Marcos Euzebio</v>
      </c>
      <c r="T386" s="96" t="str">
        <f>IF(FN_MC!W359="","*",FN_MC!W359)</f>
        <v xml:space="preserve">Execução de solda - Condicionado a temperatura </v>
      </c>
      <c r="U386" s="98" t="str">
        <f ca="1">_xlfn.XLOOKUP(G386&amp;$U$3,BS_CONTROLE[CHAVE],BS_CONTROLE[Quantidade_11],"-")</f>
        <v>-</v>
      </c>
      <c r="V386" s="98">
        <f ca="1">_xlfn.XLOOKUP(G386&amp;$V$3,BS_CONTROLE[CHAVE],BS_CONTROLE[Quantidade_11],"-")</f>
        <v>0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Oportunidade</v>
      </c>
      <c r="C387" s="95" t="str">
        <f>IF(FN_MC!Z360="","*",FN_MC!Z360)</f>
        <v>*</v>
      </c>
      <c r="D387" s="96" t="str">
        <f>IF(FN_MC!S360="","*",FN_MC!S360)</f>
        <v>FERRONORTE</v>
      </c>
      <c r="E387" s="96" t="str">
        <f>IF(FN_MC!T360="","*",FN_MC!T360)</f>
        <v>TMI-TCS</v>
      </c>
      <c r="F387" s="96" t="str">
        <f>IF(FN_MC!B360="","*",FN_MC!B360)</f>
        <v>*</v>
      </c>
      <c r="G387" s="96" t="str">
        <f>IF(FN_MC!D360="","*",FN_MC!D360)</f>
        <v>V48</v>
      </c>
      <c r="H387" s="96" t="str">
        <f>IF(FN_MC!F360="","*",FN_MC!F360)</f>
        <v>MODERNIZAÇÃO - SOCADORA</v>
      </c>
      <c r="I387" s="96" t="str">
        <f>IF(FN_MC!H360="","*",FN_MC!H360)</f>
        <v>TVI</v>
      </c>
      <c r="J387" s="96" t="str">
        <f>IF(FN_MC!I360="","*",FN_MC!I360)</f>
        <v>TVI</v>
      </c>
      <c r="K387" s="96" t="str">
        <f>IF(FN_MC!M360="","*",FN_MC!M360)</f>
        <v>TVI-TJA</v>
      </c>
      <c r="L387" s="186" t="str">
        <f>IF(FN_MC!N360="","*",FN_MC!N360)</f>
        <v>TVI239/239251</v>
      </c>
      <c r="M387" s="97">
        <f>IF(FN_MC!J360="","*",FN_MC!J360)</f>
        <v>74</v>
      </c>
      <c r="N387" s="173">
        <f>IF(FN_MC!K360="","*",FN_MC!K360)</f>
        <v>237.827</v>
      </c>
      <c r="O387" s="173">
        <f>IF(FN_MC!L360="","*",FN_MC!L360)</f>
        <v>239.64500000000001</v>
      </c>
      <c r="P387" s="107">
        <f>IF(FN_MC!O360="","*",FN_MC!O360)</f>
        <v>0.375</v>
      </c>
      <c r="Q387" s="107">
        <f>IF(FN_MC!P360="","*",FN_MC!P360)</f>
        <v>6.25E-2</v>
      </c>
      <c r="R387" s="96" t="str">
        <f>IF(FN_MC!Q360="","*",CONCATENATE(FN_MC!Q360," ",FN_MC!R360))</f>
        <v>500 M</v>
      </c>
      <c r="S387" s="96" t="str">
        <f>IF(FN_MC!V360="","*",FN_MC!V360)</f>
        <v>Augusto/ Efraim</v>
      </c>
      <c r="T387" s="96" t="str">
        <f>IF(FN_MC!W360="","*",FN_MC!W360)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Oportunidade</v>
      </c>
      <c r="C388" s="95" t="str">
        <f>IF(FN_MC!Z361="","*",FN_MC!Z361)</f>
        <v>*</v>
      </c>
      <c r="D388" s="96" t="str">
        <f>IF(FN_MC!S361="","*",FN_MC!S361)</f>
        <v>MALHA CENTRAL</v>
      </c>
      <c r="E388" s="96" t="str">
        <f>IF(FN_MC!T361="","*",FN_MC!T361)</f>
        <v>RAMAL</v>
      </c>
      <c r="F388" s="96" t="str">
        <f>IF(FN_MC!B361="","*",FN_MC!B361)</f>
        <v>*</v>
      </c>
      <c r="G388" s="96" t="str">
        <f>IF(FN_MC!D361="","*",FN_MC!D361)</f>
        <v>E18</v>
      </c>
      <c r="H388" s="96" t="str">
        <f>IF(FN_MC!F361="","*",FN_MC!F361)</f>
        <v>CAMINHÃO DE SOLDA</v>
      </c>
      <c r="I388" s="96" t="str">
        <f>IF(FN_MC!H361="","*",FN_MC!H361)</f>
        <v>ZIQZQY</v>
      </c>
      <c r="J388" s="96" t="str">
        <f>IF(FN_MC!I361="","*",FN_MC!I361)</f>
        <v>-</v>
      </c>
      <c r="K388" s="96" t="str">
        <f>IF(FN_MC!M361="","*",FN_MC!M361)</f>
        <v>ZIQ-ZQY</v>
      </c>
      <c r="L388" s="186" t="str">
        <f>IF(FN_MC!N361="","*",FN_MC!N361)</f>
        <v>ZIQZQY</v>
      </c>
      <c r="M388" s="97">
        <f>IF(FN_MC!J361="","*",FN_MC!J361)</f>
        <v>78</v>
      </c>
      <c r="N388" s="173">
        <f>IF(FN_MC!K361="","*",FN_MC!K361)</f>
        <v>177.22</v>
      </c>
      <c r="O388" s="173" t="str">
        <f>IF(FN_MC!L361="","*",FN_MC!L361)</f>
        <v>-</v>
      </c>
      <c r="P388" s="107">
        <f>IF(FN_MC!O361="","*",FN_MC!O361)</f>
        <v>0.35416666666666669</v>
      </c>
      <c r="Q388" s="107">
        <f>IF(FN_MC!P361="","*",FN_MC!P361)</f>
        <v>0.125</v>
      </c>
      <c r="R388" s="96" t="str">
        <f>IF(FN_MC!Q361="","*",CONCATENATE(FN_MC!Q361," ",FN_MC!R361))</f>
        <v>3 Nº DE SOLDA</v>
      </c>
      <c r="S388" s="96" t="str">
        <f>IF(FN_MC!V361="","*",FN_MC!V361)</f>
        <v>Higor</v>
      </c>
      <c r="T388" s="96" t="str">
        <f>IF(FN_MC!W361="","*",FN_MC!W361)</f>
        <v>Caminhão de solda</v>
      </c>
      <c r="U388" s="98">
        <f ca="1">_xlfn.XLOOKUP(G388&amp;$U$3,BS_CONTROLE[CHAVE],BS_CONTROLE[Quantidade_11],"-")</f>
        <v>2</v>
      </c>
      <c r="V388" s="98">
        <f ca="1">_xlfn.XLOOKUP(G388&amp;$V$3,BS_CONTROLE[CHAVE],BS_CONTROLE[Quantidade_11],"-")</f>
        <v>0</v>
      </c>
      <c r="W388" s="98">
        <f ca="1">_xlfn.XLOOKUP(G388&amp;$W$3,BS_CONTROLE[CHAVE],BS_CONTROLE[Quantidade_11],"-")</f>
        <v>4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Oportunidade</v>
      </c>
      <c r="C389" s="95" t="str">
        <f>IF(FN_MC!Z362="","*",FN_MC!Z362)</f>
        <v>*</v>
      </c>
      <c r="D389" s="96" t="str">
        <f>IF(FN_MC!S362="","*",FN_MC!S362)</f>
        <v>MALHA CENTRAL</v>
      </c>
      <c r="E389" s="96" t="str">
        <f>IF(FN_MC!T362="","*",FN_MC!T362)</f>
        <v>PRV-POV</v>
      </c>
      <c r="F389" s="96" t="str">
        <f>IF(FN_MC!B362="","*",FN_MC!B362)</f>
        <v>*</v>
      </c>
      <c r="G389" s="96" t="str">
        <f>IF(FN_MC!D362="","*",FN_MC!D362)</f>
        <v>E14</v>
      </c>
      <c r="H389" s="96" t="str">
        <f>IF(FN_MC!F362="","*",FN_MC!F362)</f>
        <v>MECANIZAÇÃO - ESMERILHADORA</v>
      </c>
      <c r="I389" s="96" t="str">
        <f>IF(FN_MC!H362="","*",FN_MC!H362)</f>
        <v>PSS2</v>
      </c>
      <c r="J389" s="96" t="str">
        <f>IF(FN_MC!I362="","*",FN_MC!I362)</f>
        <v>PIT2</v>
      </c>
      <c r="K389" s="96" t="str">
        <f>IF(FN_MC!M362="","*",FN_MC!M362)</f>
        <v>PSS-PIT</v>
      </c>
      <c r="L389" s="186" t="str">
        <f>IF(FN_MC!N362="","*",FN_MC!N362)</f>
        <v>PSSPIT</v>
      </c>
      <c r="M389" s="97">
        <f>IF(FN_MC!J362="","*",FN_MC!J362)</f>
        <v>103</v>
      </c>
      <c r="N389" s="173">
        <f>IF(FN_MC!K362="","*",FN_MC!K362)</f>
        <v>2029</v>
      </c>
      <c r="O389" s="173">
        <f>IF(FN_MC!L362="","*",FN_MC!L362)</f>
        <v>2116</v>
      </c>
      <c r="P389" s="107">
        <f>IF(FN_MC!O362="","*",FN_MC!O362)</f>
        <v>0.99930555555555556</v>
      </c>
      <c r="Q389" s="107">
        <f>IF(FN_MC!P362="","*",FN_MC!P362)</f>
        <v>4.1666666666666664E-2</v>
      </c>
      <c r="R389" s="96" t="str">
        <f>IF(FN_MC!Q362="","*",CONCATENATE(FN_MC!Q362," ",FN_MC!R362))</f>
        <v>40000 M</v>
      </c>
      <c r="S389" s="96" t="str">
        <f>IF(FN_MC!V362="","*",FN_MC!V362)</f>
        <v>Fernanda</v>
      </c>
      <c r="T389" s="96" t="str">
        <f>IF(FN_MC!W362="","*",FN_MC!W362)</f>
        <v xml:space="preserve"> Esmerilhadora</v>
      </c>
      <c r="U389" s="98" t="str">
        <f ca="1">_xlfn.XLOOKUP(G389&amp;$U$3,BS_CONTROLE[CHAVE],BS_CONTROLE[Quantidade_11],"-")</f>
        <v>-</v>
      </c>
      <c r="V389" s="98">
        <f ca="1">_xlfn.XLOOKUP(G389&amp;$V$3,BS_CONTROLE[CHAVE],BS_CONTROLE[Quantidade_11],"-")</f>
        <v>1</v>
      </c>
      <c r="W389" s="98">
        <f ca="1">_xlfn.XLOOKUP(G389&amp;$W$3,BS_CONTROLE[CHAVE],BS_CONTROLE[Quantidade_11],"-")</f>
        <v>0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1947</v>
      </c>
      <c r="C2" s="83" t="s">
        <v>1017</v>
      </c>
      <c r="D2" s="83" t="s">
        <v>1019</v>
      </c>
      <c r="E2" s="83" t="s">
        <v>1948</v>
      </c>
      <c r="F2" s="83" t="s">
        <v>1949</v>
      </c>
      <c r="G2" s="83" t="s">
        <v>1950</v>
      </c>
      <c r="H2" s="83" t="s">
        <v>1951</v>
      </c>
      <c r="I2" s="83" t="s">
        <v>1952</v>
      </c>
      <c r="J2" s="83" t="s">
        <v>1953</v>
      </c>
      <c r="K2" s="109" t="s">
        <v>1954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OPORTUNIDADE</v>
      </c>
      <c r="C410" s="101">
        <f>IF(FN_MC!B341="","*",FN_MC!B341)</f>
        <v>46081</v>
      </c>
      <c r="D410" s="101" t="str">
        <f>IF(FN_MC!D341="","*",FN_MC!D341)</f>
        <v>V48</v>
      </c>
      <c r="E410" s="101" t="str">
        <f>IF(FN_MC!H341="","*",FN_MC!H341)</f>
        <v>TVI</v>
      </c>
      <c r="F410" s="114" t="str">
        <f>IF(FN_MC!M341="","*",FN_MC!M341)</f>
        <v>TVI-TJA</v>
      </c>
      <c r="G410" s="101" t="str">
        <f>IF(FN_MC!I341="","*",FN_MC!I341)</f>
        <v>TVI</v>
      </c>
      <c r="H410" s="101" t="str">
        <f>IF(FN_MC!AB341="","*",FN_MC!AB341)</f>
        <v>FIXO</v>
      </c>
      <c r="I410" s="101" t="str">
        <f>IF(FN_MC!AC341="","*",FN_MC!AC341)</f>
        <v>*</v>
      </c>
      <c r="J410" s="102">
        <f>IF(FN_MC!AA341="","*",FN_MC!AA341)</f>
        <v>1</v>
      </c>
      <c r="K410" s="112">
        <f>IF(FN_MC!AD341="","*",FN_MC!AD341)</f>
        <v>0.29166666666666669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OPORTUNIDADE</v>
      </c>
      <c r="C412" s="101">
        <f>IF(FN_MC!B343="","*",FN_MC!B343)</f>
        <v>46081</v>
      </c>
      <c r="D412" s="101" t="str">
        <f>IF(FN_MC!D343="","*",FN_MC!D343)</f>
        <v>MARCOS (TF-520)</v>
      </c>
      <c r="E412" s="101" t="str">
        <f>IF(FN_MC!H343="","*",FN_MC!H343)</f>
        <v>-</v>
      </c>
      <c r="F412" s="114" t="str">
        <f>IF(FN_MC!M343="","*",FN_MC!M343)</f>
        <v>TLG-TQI</v>
      </c>
      <c r="G412" s="101" t="str">
        <f>IF(FN_MC!I343="","*",FN_MC!I343)</f>
        <v>-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-</v>
      </c>
    </row>
    <row r="413" spans="2:11" hidden="1">
      <c r="B413" s="100" t="str">
        <f>IF(FN_MC!Y344="","*",FN_MC!Y344)</f>
        <v>OPORTUNIDADE</v>
      </c>
      <c r="C413" s="101">
        <f>IF(FN_MC!B344="","*",FN_MC!B344)</f>
        <v>46081</v>
      </c>
      <c r="D413" s="101" t="str">
        <f>IF(FN_MC!D344="","*",FN_MC!D344)</f>
        <v>E14</v>
      </c>
      <c r="E413" s="101" t="str">
        <f>IF(FN_MC!H344="","*",FN_MC!H344)</f>
        <v>PQI2</v>
      </c>
      <c r="F413" s="114" t="str">
        <f>IF(FN_MC!M344="","*",FN_MC!M344)</f>
        <v>PQI-PPR</v>
      </c>
      <c r="G413" s="101" t="str">
        <f>IF(FN_MC!I344="","*",FN_MC!I344)</f>
        <v>PPR3</v>
      </c>
      <c r="H413" s="101" t="str">
        <f>IF(FN_MC!AB344="","*",FN_MC!AB344)</f>
        <v>FIXO</v>
      </c>
      <c r="I413" s="101" t="str">
        <f>IF(FN_MC!AC344="","*",FN_MC!AC344)</f>
        <v>*</v>
      </c>
      <c r="J413" s="102">
        <f>IF(FN_MC!AA344="","*",FN_MC!AA344)</f>
        <v>1</v>
      </c>
      <c r="K413" s="112">
        <f>IF(FN_MC!AD344="","*",FN_MC!AD344)</f>
        <v>0.91666666666666663</v>
      </c>
    </row>
    <row r="414" spans="2:11" hidden="1">
      <c r="B414" s="100" t="str">
        <f>IF(FN_MC!Y345="","*",FN_MC!Y345)</f>
        <v>OPORTUNIDADE</v>
      </c>
      <c r="C414" s="101">
        <f>IF(FN_MC!B345="","*",FN_MC!B345)</f>
        <v>46081</v>
      </c>
      <c r="D414" s="101" t="str">
        <f>IF(FN_MC!D345="","*",FN_MC!D345)</f>
        <v xml:space="preserve">TURMA FIXA VIA </v>
      </c>
      <c r="E414" s="101" t="str">
        <f>IF(FN_MC!H345="","*",FN_MC!H345)</f>
        <v>-</v>
      </c>
      <c r="F414" s="114" t="str">
        <f>IF(FN_MC!M345="","*",FN_MC!M345)</f>
        <v>PNV</v>
      </c>
      <c r="G414" s="101" t="str">
        <f>IF(FN_MC!I345="","*",FN_MC!I345)</f>
        <v>-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-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V86</v>
      </c>
      <c r="E416" s="101" t="str">
        <f>IF(FN_MC!H347="","*",FN_MC!H347)</f>
        <v>-</v>
      </c>
      <c r="F416" s="114" t="str">
        <f>IF(FN_MC!M347="","*",FN_MC!M347)</f>
        <v>TAP-TLG</v>
      </c>
      <c r="G416" s="101" t="str">
        <f>IF(FN_MC!I347="","*",FN_MC!I347)</f>
        <v>-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-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V48</v>
      </c>
      <c r="E418" s="101" t="str">
        <f>IF(FN_MC!H349="","*",FN_MC!H349)</f>
        <v>TVI</v>
      </c>
      <c r="F418" s="114" t="str">
        <f>IF(FN_MC!M349="","*",FN_MC!M349)</f>
        <v>TVI-TJA</v>
      </c>
      <c r="G418" s="101" t="str">
        <f>IF(FN_MC!I349="","*",FN_MC!I349)</f>
        <v>TVI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-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E14</v>
      </c>
      <c r="E419" s="101" t="str">
        <f>IF(FN_MC!H350="","*",FN_MC!H350)</f>
        <v>PPR2</v>
      </c>
      <c r="F419" s="114" t="str">
        <f>IF(FN_MC!M350="","*",FN_MC!M350)</f>
        <v>PPR-PSS</v>
      </c>
      <c r="G419" s="101" t="str">
        <f>IF(FN_MC!I350="","*",FN_MC!I350)</f>
        <v>PSS2</v>
      </c>
      <c r="H419" s="101" t="str">
        <f>IF(FN_MC!AB350="","*",FN_MC!AB350)</f>
        <v>FIXO</v>
      </c>
      <c r="I419" s="101" t="str">
        <f>IF(FN_MC!AC350="","*",FN_MC!AC350)</f>
        <v>*</v>
      </c>
      <c r="J419" s="102">
        <f>IF(FN_MC!AA350="","*",FN_MC!AA350)</f>
        <v>1</v>
      </c>
      <c r="K419" s="112">
        <f>IF(FN_MC!AD350="","*",FN_MC!AD350)</f>
        <v>0.91666666666666663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V86</v>
      </c>
      <c r="E422" s="101" t="str">
        <f>IF(FN_MC!H353="","*",FN_MC!H353)</f>
        <v>TIQ2</v>
      </c>
      <c r="F422" s="114" t="str">
        <f>IF(FN_MC!M353="","*",FN_MC!M353)</f>
        <v>TBS-TAL</v>
      </c>
      <c r="G422" s="101" t="str">
        <f>IF(FN_MC!I353="","*",FN_MC!I353)</f>
        <v>TIQ2</v>
      </c>
      <c r="H422" s="101" t="str">
        <f>IF(FN_MC!AB353="","*",FN_MC!AB353)</f>
        <v>FIXO</v>
      </c>
      <c r="I422" s="101" t="str">
        <f>IF(FN_MC!AC353="","*",FN_MC!AC353)</f>
        <v>*</v>
      </c>
      <c r="J422" s="102">
        <f>IF(FN_MC!AA353="","*",FN_MC!AA353)</f>
        <v>1</v>
      </c>
      <c r="K422" s="112">
        <f>IF(FN_MC!AD353="","*",FN_MC!AD353)</f>
        <v>0.29166666666666669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W70</v>
      </c>
      <c r="E424" s="101" t="str">
        <f>IF(FN_MC!H355="","*",FN_MC!H355)</f>
        <v>TAG2</v>
      </c>
      <c r="F424" s="114" t="str">
        <f>IF(FN_MC!M355="","*",FN_MC!M355)</f>
        <v>TBR-TGR</v>
      </c>
      <c r="G424" s="101" t="str">
        <f>IF(FN_MC!I355="","*",FN_MC!I355)</f>
        <v>TAG2</v>
      </c>
      <c r="H424" s="101" t="str">
        <f>IF(FN_MC!AB355="","*",FN_MC!AB355)</f>
        <v>FIXO</v>
      </c>
      <c r="I424" s="101" t="str">
        <f>IF(FN_MC!AC355="","*",FN_MC!AC355)</f>
        <v>*</v>
      </c>
      <c r="J424" s="102" t="str">
        <f>IF(FN_MC!AA355="","*",FN_MC!AA355)</f>
        <v>2 (Enio e Daniel)</v>
      </c>
      <c r="K424" s="112">
        <f>IF(FN_MC!AD355="","*",FN_MC!AD355)</f>
        <v>0.29166666666666669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A60</v>
      </c>
      <c r="E426" s="101" t="str">
        <f>IF(FN_MC!H357="","*",FN_MC!H357)</f>
        <v>TCS291</v>
      </c>
      <c r="F426" s="114" t="str">
        <f>IF(FN_MC!M357="","*",FN_MC!M357)</f>
        <v>TCS-TIN</v>
      </c>
      <c r="G426" s="101" t="str">
        <f>IF(FN_MC!I357="","*",FN_MC!I357)</f>
        <v>TIN1</v>
      </c>
      <c r="H426" s="101" t="str">
        <f>IF(FN_MC!AB357="","*",FN_MC!AB357)</f>
        <v>FIXO</v>
      </c>
      <c r="I426" s="101" t="str">
        <f>IF(FN_MC!AC357="","*",FN_MC!AC357)</f>
        <v>*</v>
      </c>
      <c r="J426" s="102">
        <f>IF(FN_MC!AA357="","*",FN_MC!AA357)</f>
        <v>1</v>
      </c>
      <c r="K426" s="112">
        <f>IF(FN_MC!AD357="","*",FN_MC!AD357)</f>
        <v>0.29166666666666669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W50</v>
      </c>
      <c r="E427" s="101" t="str">
        <f>IF(FN_MC!H358="","*",FN_MC!H358)</f>
        <v xml:space="preserve">TCS2 </v>
      </c>
      <c r="F427" s="114" t="str">
        <f>IF(FN_MC!M358="","*",FN_MC!M358)</f>
        <v>TCS-TIN</v>
      </c>
      <c r="G427" s="101" t="str">
        <f>IF(FN_MC!I358="","*",FN_MC!I358)</f>
        <v>TIN2</v>
      </c>
      <c r="H427" s="101" t="str">
        <f>IF(FN_MC!AB358="","*",FN_MC!AB358)</f>
        <v>FIXO</v>
      </c>
      <c r="I427" s="101" t="str">
        <f>IF(FN_MC!AC358="","*",FN_MC!AC358)</f>
        <v>*</v>
      </c>
      <c r="J427" s="102" t="str">
        <f>IF(FN_MC!AA358="","*",FN_MC!AA358)</f>
        <v xml:space="preserve">2 Maicon + Elder </v>
      </c>
      <c r="K427" s="112">
        <f>IF(FN_MC!AD358="","*",FN_MC!AD358)</f>
        <v>0.29166666666666669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MARCOS (TF-520)</v>
      </c>
      <c r="E428" s="101" t="str">
        <f>IF(FN_MC!H359="","*",FN_MC!H359)</f>
        <v>-</v>
      </c>
      <c r="F428" s="114" t="str">
        <f>IF(FN_MC!M359="","*",FN_MC!M359)</f>
        <v>TCS-N</v>
      </c>
      <c r="G428" s="101" t="str">
        <f>IF(FN_MC!I359="","*",FN_MC!I359)</f>
        <v>-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-</v>
      </c>
      <c r="K428" s="112" t="str">
        <f>IF(FN_MC!AD359="","*",FN_MC!AD359)</f>
        <v>-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V48</v>
      </c>
      <c r="E429" s="101" t="str">
        <f>IF(FN_MC!H360="","*",FN_MC!H360)</f>
        <v>TVI</v>
      </c>
      <c r="F429" s="114" t="str">
        <f>IF(FN_MC!M360="","*",FN_MC!M360)</f>
        <v>TVI-TJA</v>
      </c>
      <c r="G429" s="101" t="str">
        <f>IF(FN_MC!I360="","*",FN_MC!I360)</f>
        <v>TVI</v>
      </c>
      <c r="H429" s="101" t="str">
        <f>IF(FN_MC!AB360="","*",FN_MC!AB360)</f>
        <v>FIXO</v>
      </c>
      <c r="I429" s="101" t="str">
        <f>IF(FN_MC!AC360="","*",FN_MC!AC360)</f>
        <v>*</v>
      </c>
      <c r="J429" s="102">
        <f>IF(FN_MC!AA360="","*",FN_MC!AA360)</f>
        <v>1</v>
      </c>
      <c r="K429" s="112">
        <f>IF(FN_MC!AD360="","*",FN_MC!AD360)</f>
        <v>0.29166666666666669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E18</v>
      </c>
      <c r="E430" s="101" t="str">
        <f>IF(FN_MC!H361="","*",FN_MC!H361)</f>
        <v>ZIQZQY</v>
      </c>
      <c r="F430" s="114" t="str">
        <f>IF(FN_MC!M361="","*",FN_MC!M361)</f>
        <v>ZIQ-ZQY</v>
      </c>
      <c r="G430" s="101" t="str">
        <f>IF(FN_MC!I361="","*",FN_MC!I361)</f>
        <v>-</v>
      </c>
      <c r="H430" s="101" t="str">
        <f>IF(FN_MC!AB361="","*",FN_MC!AB361)</f>
        <v>FIXO</v>
      </c>
      <c r="I430" s="101" t="str">
        <f>IF(FN_MC!AC361="","*",FN_MC!AC361)</f>
        <v>*</v>
      </c>
      <c r="J430" s="102">
        <f>IF(FN_MC!AA361="","*",FN_MC!AA361)</f>
        <v>1</v>
      </c>
      <c r="K430" s="112">
        <f>IF(FN_MC!AD361="","*",FN_MC!AD361)</f>
        <v>0.29166666666666669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E14</v>
      </c>
      <c r="E431" s="101" t="str">
        <f>IF(FN_MC!H362="","*",FN_MC!H362)</f>
        <v>PSS2</v>
      </c>
      <c r="F431" s="114" t="str">
        <f>IF(FN_MC!M362="","*",FN_MC!M362)</f>
        <v>PSS-PIT</v>
      </c>
      <c r="G431" s="101" t="str">
        <f>IF(FN_MC!I362="","*",FN_MC!I362)</f>
        <v>PIT2</v>
      </c>
      <c r="H431" s="101" t="str">
        <f>IF(FN_MC!AB362="","*",FN_MC!AB362)</f>
        <v>FIXO</v>
      </c>
      <c r="I431" s="101" t="str">
        <f>IF(FN_MC!AC362="","*",FN_MC!AC362)</f>
        <v>*</v>
      </c>
      <c r="J431" s="102">
        <f>IF(FN_MC!AA362="","*",FN_MC!AA362)</f>
        <v>1</v>
      </c>
      <c r="K431" s="112">
        <f>IF(FN_MC!AD362="","*",FN_MC!AD362)</f>
        <v>0.91666666666666663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1955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1956</v>
      </c>
      <c r="C4" s="181" t="s">
        <v>1957</v>
      </c>
      <c r="D4" s="181" t="s">
        <v>1958</v>
      </c>
      <c r="E4" s="181" t="s">
        <v>1959</v>
      </c>
      <c r="F4" s="181" t="s">
        <v>366</v>
      </c>
      <c r="G4" s="181" t="s">
        <v>1960</v>
      </c>
    </row>
    <row r="5" spans="2:7">
      <c r="B5" s="182" t="s">
        <v>1961</v>
      </c>
      <c r="C5" s="182">
        <v>309525</v>
      </c>
      <c r="D5" s="182" t="s">
        <v>1962</v>
      </c>
      <c r="E5" s="182" t="s">
        <v>249</v>
      </c>
      <c r="F5" s="182" t="s">
        <v>1963</v>
      </c>
      <c r="G5" s="183">
        <v>46296</v>
      </c>
    </row>
    <row r="6" spans="2:7">
      <c r="B6" s="182" t="s">
        <v>1964</v>
      </c>
      <c r="C6" s="182">
        <v>257410</v>
      </c>
      <c r="D6" s="182" t="s">
        <v>1965</v>
      </c>
      <c r="E6" s="182" t="s">
        <v>249</v>
      </c>
      <c r="F6" s="182" t="s">
        <v>1963</v>
      </c>
      <c r="G6" s="183"/>
    </row>
    <row r="7" spans="2:7">
      <c r="B7" s="182" t="s">
        <v>1335</v>
      </c>
      <c r="C7" s="182">
        <v>256875</v>
      </c>
      <c r="D7" s="182" t="s">
        <v>1966</v>
      </c>
      <c r="E7" s="182" t="s">
        <v>249</v>
      </c>
      <c r="F7" s="182" t="s">
        <v>1963</v>
      </c>
      <c r="G7" s="183">
        <v>46296</v>
      </c>
    </row>
    <row r="8" spans="2:7">
      <c r="B8" s="182" t="s">
        <v>1967</v>
      </c>
      <c r="C8" s="182">
        <v>257278</v>
      </c>
      <c r="D8" s="182" t="s">
        <v>1968</v>
      </c>
      <c r="E8" s="182" t="s">
        <v>240</v>
      </c>
      <c r="F8" s="182" t="s">
        <v>1969</v>
      </c>
      <c r="G8" s="183">
        <v>46235</v>
      </c>
    </row>
    <row r="9" spans="2:7">
      <c r="B9" s="182" t="s">
        <v>1970</v>
      </c>
      <c r="C9" s="182">
        <v>261794</v>
      </c>
      <c r="D9" s="182" t="s">
        <v>1971</v>
      </c>
      <c r="E9" s="182" t="s">
        <v>240</v>
      </c>
      <c r="F9" s="182" t="s">
        <v>1969</v>
      </c>
      <c r="G9" s="183">
        <v>46082</v>
      </c>
    </row>
    <row r="10" spans="2:7">
      <c r="B10" s="182" t="s">
        <v>1972</v>
      </c>
      <c r="C10" s="182">
        <v>257033</v>
      </c>
      <c r="D10" s="182" t="s">
        <v>1973</v>
      </c>
      <c r="E10" s="182" t="s">
        <v>240</v>
      </c>
      <c r="F10" s="182" t="s">
        <v>480</v>
      </c>
      <c r="G10" s="182" t="s">
        <v>1974</v>
      </c>
    </row>
    <row r="11" spans="2:7">
      <c r="B11" s="182" t="s">
        <v>1975</v>
      </c>
      <c r="C11" s="182">
        <v>396578</v>
      </c>
      <c r="D11" s="182" t="s">
        <v>1976</v>
      </c>
      <c r="E11" s="182" t="s">
        <v>240</v>
      </c>
      <c r="F11" s="182" t="s">
        <v>480</v>
      </c>
      <c r="G11" s="182" t="s">
        <v>1974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1818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1977</v>
      </c>
      <c r="D5" s="273"/>
      <c r="E5" s="273"/>
      <c r="F5" s="273"/>
      <c r="G5" s="273"/>
      <c r="H5" s="273"/>
      <c r="I5" s="273"/>
      <c r="J5" s="274"/>
      <c r="K5" s="275" t="s">
        <v>1978</v>
      </c>
      <c r="L5" s="276"/>
      <c r="M5" s="276"/>
      <c r="N5" s="276"/>
      <c r="O5" s="277" t="s">
        <v>1979</v>
      </c>
      <c r="P5" s="278"/>
      <c r="Q5" s="279"/>
    </row>
    <row r="6" spans="1:17" s="81" customFormat="1" ht="15.75" customHeight="1">
      <c r="A6" s="75" t="s">
        <v>1945</v>
      </c>
      <c r="B6" s="82" t="s">
        <v>1944</v>
      </c>
      <c r="C6" s="83" t="s">
        <v>1032</v>
      </c>
      <c r="D6" s="84" t="s">
        <v>1033</v>
      </c>
      <c r="E6" s="83" t="s">
        <v>1980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1981</v>
      </c>
      <c r="M6" s="116" t="s">
        <v>29</v>
      </c>
      <c r="N6" s="117" t="s">
        <v>1027</v>
      </c>
      <c r="O6" s="159" t="s">
        <v>1070</v>
      </c>
      <c r="P6" s="128"/>
      <c r="Q6" s="138" t="s">
        <v>1982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 xml:space="preserve">Não solicitou devido solda fora de procedimento, alterou para outro local 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>
        <f>IF(FN_MC!B341="","*",FN_MC!B341)</f>
        <v>46081</v>
      </c>
      <c r="B414" s="86" t="str">
        <f>IF(FN_MC!X341="","*",FN_MC!X341)</f>
        <v>Oportunidade</v>
      </c>
      <c r="C414" s="87" t="str">
        <f>IF(FN_MC!S341="","*",FN_MC!S341)</f>
        <v>FERRONORTE</v>
      </c>
      <c r="D414" s="87" t="str">
        <f>IF(FN_MC!T341="","*",FN_MC!T341)</f>
        <v>TMI-TCS</v>
      </c>
      <c r="E414" s="87" t="str">
        <f>IF(FN_MC!D341="","*",FN_MC!D341)</f>
        <v>V48</v>
      </c>
      <c r="F414" s="87" t="str">
        <f>IF(FN_MC!H341="","*",FN_MC!H341)</f>
        <v>TVI</v>
      </c>
      <c r="G414" s="87" t="str">
        <f>IF(FN_MC!M341="","*",FN_MC!M341)</f>
        <v>TVI-TJA</v>
      </c>
      <c r="H414" s="125">
        <f>IF(FN_MC!K341="","*",FN_MC!K341)</f>
        <v>237.827</v>
      </c>
      <c r="I414" s="110">
        <f>IF(FN_MC!O341="","*",FN_MC!O341)</f>
        <v>0.375</v>
      </c>
      <c r="J414" s="110">
        <f>IF(FN_MC!P341="","*",FN_MC!P341)</f>
        <v>6.25E-2</v>
      </c>
      <c r="K414" s="118" t="str">
        <f>IF(FN_MC!AK341="","*",FN_MC!AK341)</f>
        <v>TVI</v>
      </c>
      <c r="L414" s="118" t="str">
        <f>IF(FN_MC!AM341="","*",FN_MC!AM341)</f>
        <v>TVI-TJA</v>
      </c>
      <c r="M414" s="118">
        <f>IF(FN_MC!AP341="","*",FN_MC!AP341)</f>
        <v>237.827</v>
      </c>
      <c r="N414" s="118" t="str">
        <f>IF(FN_MC!AM341="","*",FN_MC!AM341)</f>
        <v>TVI-TJA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>
        <f>IF(FN_MC!B343="","*",FN_MC!B343)</f>
        <v>46081</v>
      </c>
      <c r="B416" s="86" t="str">
        <f>IF(FN_MC!X343="","*",FN_MC!X343)</f>
        <v>Oportunidade</v>
      </c>
      <c r="C416" s="87" t="str">
        <f>IF(FN_MC!S343="","*",FN_MC!S343)</f>
        <v>FERRONORTE</v>
      </c>
      <c r="D416" s="87" t="str">
        <f>IF(FN_MC!T343="","*",FN_MC!T343)</f>
        <v>TMI-TCS</v>
      </c>
      <c r="E416" s="87" t="str">
        <f>IF(FN_MC!D343="","*",FN_MC!D343)</f>
        <v>MARCOS (TF-520)</v>
      </c>
      <c r="F416" s="87" t="str">
        <f>IF(FN_MC!H343="","*",FN_MC!H343)</f>
        <v>-</v>
      </c>
      <c r="G416" s="87" t="str">
        <f>IF(FN_MC!M343="","*",FN_MC!M343)</f>
        <v>TLG-TQI</v>
      </c>
      <c r="H416" s="125">
        <f>IF(FN_MC!K343="","*",FN_MC!K343)</f>
        <v>54.6</v>
      </c>
      <c r="I416" s="110">
        <f>IF(FN_MC!O343="","*",FN_MC!O343)</f>
        <v>0.375</v>
      </c>
      <c r="J416" s="110">
        <f>IF(FN_MC!P343="","*",FN_MC!P343)</f>
        <v>8.3333333333333329E-2</v>
      </c>
      <c r="K416" s="118" t="str">
        <f>IF(FN_MC!AK343="","*",FN_MC!AK343)</f>
        <v>-</v>
      </c>
      <c r="L416" s="118" t="str">
        <f>IF(FN_MC!AM343="","*",FN_MC!AM343)</f>
        <v>TLG-TQI</v>
      </c>
      <c r="M416" s="118">
        <f>IF(FN_MC!AP343="","*",FN_MC!AP343)</f>
        <v>54.6</v>
      </c>
      <c r="N416" s="118" t="str">
        <f>IF(FN_MC!AM343="","*",FN_MC!AM343)</f>
        <v>TLG-TQI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>
        <f>IF(FN_MC!B344="","*",FN_MC!B344)</f>
        <v>46081</v>
      </c>
      <c r="B417" s="86" t="str">
        <f>IF(FN_MC!X344="","*",FN_MC!X344)</f>
        <v>Oportunidade</v>
      </c>
      <c r="C417" s="87" t="str">
        <f>IF(FN_MC!S344="","*",FN_MC!S344)</f>
        <v>MALHA CENTRAL</v>
      </c>
      <c r="D417" s="87" t="str">
        <f>IF(FN_MC!T344="","*",FN_MC!T344)</f>
        <v>PRV-POV</v>
      </c>
      <c r="E417" s="87" t="str">
        <f>IF(FN_MC!D344="","*",FN_MC!D344)</f>
        <v>E14</v>
      </c>
      <c r="F417" s="87" t="str">
        <f>IF(FN_MC!H344="","*",FN_MC!H344)</f>
        <v>PQI2</v>
      </c>
      <c r="G417" s="87" t="str">
        <f>IF(FN_MC!M344="","*",FN_MC!M344)</f>
        <v>PQI-PPR</v>
      </c>
      <c r="H417" s="125">
        <f>IF(FN_MC!K344="","*",FN_MC!K344)</f>
        <v>1937</v>
      </c>
      <c r="I417" s="110">
        <f>IF(FN_MC!O344="","*",FN_MC!O344)</f>
        <v>0.99930555555555556</v>
      </c>
      <c r="J417" s="110">
        <f>IF(FN_MC!P344="","*",FN_MC!P344)</f>
        <v>4.1666666666666664E-2</v>
      </c>
      <c r="K417" s="118" t="str">
        <f>IF(FN_MC!AK344="","*",FN_MC!AK344)</f>
        <v>PQI2</v>
      </c>
      <c r="L417" s="118" t="str">
        <f>IF(FN_MC!AM344="","*",FN_MC!AM344)</f>
        <v>PQI-PPR</v>
      </c>
      <c r="M417" s="118">
        <f>IF(FN_MC!AP344="","*",FN_MC!AP344)</f>
        <v>1937</v>
      </c>
      <c r="N417" s="118" t="str">
        <f>IF(FN_MC!AM344="","*",FN_MC!AM344)</f>
        <v>PQI-PPR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>
        <f>IF(FN_MC!B345="","*",FN_MC!B345)</f>
        <v>46081</v>
      </c>
      <c r="B418" s="86" t="str">
        <f>IF(FN_MC!X345="","*",FN_MC!X345)</f>
        <v>Oportunidade</v>
      </c>
      <c r="C418" s="87" t="str">
        <f>IF(FN_MC!S345="","*",FN_MC!S345)</f>
        <v>MALHA CENTRAL</v>
      </c>
      <c r="D418" s="87" t="str">
        <f>IF(FN_MC!T345="","*",FN_MC!T345)</f>
        <v>POV-PRV</v>
      </c>
      <c r="E418" s="87" t="str">
        <f>IF(FN_MC!D345="","*",FN_MC!D345)</f>
        <v xml:space="preserve">TURMA FIXA VIA </v>
      </c>
      <c r="F418" s="87" t="str">
        <f>IF(FN_MC!H345="","*",FN_MC!H345)</f>
        <v>-</v>
      </c>
      <c r="G418" s="87" t="str">
        <f>IF(FN_MC!M345="","*",FN_MC!M345)</f>
        <v>PNV</v>
      </c>
      <c r="H418" s="125">
        <f>IF(FN_MC!K345="","*",FN_MC!K345)</f>
        <v>1538.962</v>
      </c>
      <c r="I418" s="110">
        <f>IF(FN_MC!O345="","*",FN_MC!O345)</f>
        <v>0.375</v>
      </c>
      <c r="J418" s="110">
        <f>IF(FN_MC!P345="","*",FN_MC!P345)</f>
        <v>0.125</v>
      </c>
      <c r="K418" s="118" t="str">
        <f>IF(FN_MC!AK345="","*",FN_MC!AK345)</f>
        <v>-</v>
      </c>
      <c r="L418" s="118" t="str">
        <f>IF(FN_MC!AM345="","*",FN_MC!AM345)</f>
        <v>PNV</v>
      </c>
      <c r="M418" s="118">
        <f>IF(FN_MC!AP345="","*",FN_MC!AP345)</f>
        <v>1538.962</v>
      </c>
      <c r="N418" s="118" t="str">
        <f>IF(FN_MC!AM345="","*",FN_MC!AM345)</f>
        <v>PNV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Oportunidade</v>
      </c>
      <c r="C420" s="87" t="str">
        <f>IF(FN_MC!S347="","*",FN_MC!S347)</f>
        <v>FERRONORTE</v>
      </c>
      <c r="D420" s="87" t="str">
        <f>IF(FN_MC!T347="","*",FN_MC!T347)</f>
        <v>TMI-TCS</v>
      </c>
      <c r="E420" s="87" t="str">
        <f>IF(FN_MC!D347="","*",FN_MC!D347)</f>
        <v>V86</v>
      </c>
      <c r="F420" s="87" t="str">
        <f>IF(FN_MC!H347="","*",FN_MC!H347)</f>
        <v>-</v>
      </c>
      <c r="G420" s="87" t="str">
        <f>IF(FN_MC!M347="","*",FN_MC!M347)</f>
        <v>TAP-TLG</v>
      </c>
      <c r="H420" s="125">
        <f>IF(FN_MC!K347="","*",FN_MC!K347)</f>
        <v>27.43</v>
      </c>
      <c r="I420" s="110">
        <f>IF(FN_MC!O347="","*",FN_MC!O347)</f>
        <v>0.41666666666666669</v>
      </c>
      <c r="J420" s="110">
        <f>IF(FN_MC!P347="","*",FN_MC!P347)</f>
        <v>6.25E-2</v>
      </c>
      <c r="K420" s="118" t="str">
        <f>IF(FN_MC!AK347="","*",FN_MC!AK347)</f>
        <v>-</v>
      </c>
      <c r="L420" s="118" t="str">
        <f>IF(FN_MC!AM347="","*",FN_MC!AM347)</f>
        <v>TAP-TLG</v>
      </c>
      <c r="M420" s="118">
        <f>IF(FN_MC!AP347="","*",FN_MC!AP347)</f>
        <v>27.43</v>
      </c>
      <c r="N420" s="118" t="str">
        <f>IF(FN_MC!AM347="","*",FN_MC!AM347)</f>
        <v>TAP-TLG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Oportunidade</v>
      </c>
      <c r="C422" s="87" t="str">
        <f>IF(FN_MC!S349="","*",FN_MC!S349)</f>
        <v>FERRONORTE</v>
      </c>
      <c r="D422" s="87" t="str">
        <f>IF(FN_MC!T349="","*",FN_MC!T349)</f>
        <v>TMI-TCS</v>
      </c>
      <c r="E422" s="87" t="str">
        <f>IF(FN_MC!D349="","*",FN_MC!D349)</f>
        <v>V48</v>
      </c>
      <c r="F422" s="87" t="str">
        <f>IF(FN_MC!H349="","*",FN_MC!H349)</f>
        <v>TVI</v>
      </c>
      <c r="G422" s="87" t="str">
        <f>IF(FN_MC!M349="","*",FN_MC!M349)</f>
        <v>TVI-TJA</v>
      </c>
      <c r="H422" s="125">
        <f>IF(FN_MC!K349="","*",FN_MC!K349)</f>
        <v>237.827</v>
      </c>
      <c r="I422" s="110">
        <f>IF(FN_MC!O349="","*",FN_MC!O349)</f>
        <v>0.375</v>
      </c>
      <c r="J422" s="110">
        <f>IF(FN_MC!P349="","*",FN_MC!P349)</f>
        <v>6.25E-2</v>
      </c>
      <c r="K422" s="118" t="str">
        <f>IF(FN_MC!AK349="","*",FN_MC!AK349)</f>
        <v>TVI</v>
      </c>
      <c r="L422" s="118" t="str">
        <f>IF(FN_MC!AM349="","*",FN_MC!AM349)</f>
        <v>TVI-TJA</v>
      </c>
      <c r="M422" s="118">
        <f>IF(FN_MC!AP349="","*",FN_MC!AP349)</f>
        <v>237.827</v>
      </c>
      <c r="N422" s="118" t="str">
        <f>IF(FN_MC!AM349="","*",FN_MC!AM349)</f>
        <v>TVI-TJA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Oportunidade</v>
      </c>
      <c r="C423" s="87" t="str">
        <f>IF(FN_MC!S350="","*",FN_MC!S350)</f>
        <v>MALHA CENTRAL</v>
      </c>
      <c r="D423" s="87" t="str">
        <f>IF(FN_MC!T350="","*",FN_MC!T350)</f>
        <v>PRV-POV</v>
      </c>
      <c r="E423" s="87" t="str">
        <f>IF(FN_MC!D350="","*",FN_MC!D350)</f>
        <v>E14</v>
      </c>
      <c r="F423" s="87" t="str">
        <f>IF(FN_MC!H350="","*",FN_MC!H350)</f>
        <v>PPR2</v>
      </c>
      <c r="G423" s="87" t="str">
        <f>IF(FN_MC!M350="","*",FN_MC!M350)</f>
        <v>PPR-PSS</v>
      </c>
      <c r="H423" s="125">
        <f>IF(FN_MC!K350="","*",FN_MC!K350)</f>
        <v>1980</v>
      </c>
      <c r="I423" s="110">
        <f>IF(FN_MC!O350="","*",FN_MC!O350)</f>
        <v>0.99930555555555556</v>
      </c>
      <c r="J423" s="110">
        <f>IF(FN_MC!P350="","*",FN_MC!P350)</f>
        <v>4.1666666666666664E-2</v>
      </c>
      <c r="K423" s="118" t="str">
        <f>IF(FN_MC!AK350="","*",FN_MC!AK350)</f>
        <v>PPR2</v>
      </c>
      <c r="L423" s="118" t="str">
        <f>IF(FN_MC!AM350="","*",FN_MC!AM350)</f>
        <v>PPR-PSS</v>
      </c>
      <c r="M423" s="118">
        <f>IF(FN_MC!AP350="","*",FN_MC!AP350)</f>
        <v>1980</v>
      </c>
      <c r="N423" s="118" t="str">
        <f>IF(FN_MC!AM350="","*",FN_MC!AM350)</f>
        <v>PPR-PSS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Oportunidade</v>
      </c>
      <c r="C426" s="87" t="str">
        <f>IF(FN_MC!S353="","*",FN_MC!S353)</f>
        <v>FERRONORTE</v>
      </c>
      <c r="D426" s="87" t="str">
        <f>IF(FN_MC!T353="","*",FN_MC!T353)</f>
        <v>TGR-TRO</v>
      </c>
      <c r="E426" s="87" t="str">
        <f>IF(FN_MC!D353="","*",FN_MC!D353)</f>
        <v>V86</v>
      </c>
      <c r="F426" s="87" t="str">
        <f>IF(FN_MC!H353="","*",FN_MC!H353)</f>
        <v>TIQ2</v>
      </c>
      <c r="G426" s="87" t="str">
        <f>IF(FN_MC!M353="","*",FN_MC!M353)</f>
        <v>TBS-TAL</v>
      </c>
      <c r="H426" s="125">
        <f>IF(FN_MC!K353="","*",FN_MC!K353)</f>
        <v>664</v>
      </c>
      <c r="I426" s="110">
        <f>IF(FN_MC!O353="","*",FN_MC!O353)</f>
        <v>0.41666666666666669</v>
      </c>
      <c r="J426" s="110">
        <f>IF(FN_MC!P353="","*",FN_MC!P353)</f>
        <v>6.25E-2</v>
      </c>
      <c r="K426" s="118" t="str">
        <f>IF(FN_MC!AK353="","*",FN_MC!AK353)</f>
        <v>TIQ2</v>
      </c>
      <c r="L426" s="118" t="str">
        <f>IF(FN_MC!AM353="","*",FN_MC!AM353)</f>
        <v>TBS-TAL</v>
      </c>
      <c r="M426" s="118">
        <f>IF(FN_MC!AP353="","*",FN_MC!AP353)</f>
        <v>664</v>
      </c>
      <c r="N426" s="118" t="str">
        <f>IF(FN_MC!AM353="","*",FN_MC!AM353)</f>
        <v>TBS-TAL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Oportunidade</v>
      </c>
      <c r="C428" s="87" t="str">
        <f>IF(FN_MC!S355="","*",FN_MC!S355)</f>
        <v>FERRONORTE</v>
      </c>
      <c r="D428" s="87" t="str">
        <f>IF(FN_MC!T355="","*",FN_MC!T355)</f>
        <v>TCS-TGR</v>
      </c>
      <c r="E428" s="87" t="str">
        <f>IF(FN_MC!D355="","*",FN_MC!D355)</f>
        <v>W70</v>
      </c>
      <c r="F428" s="87" t="str">
        <f>IF(FN_MC!H355="","*",FN_MC!H355)</f>
        <v>TAG2</v>
      </c>
      <c r="G428" s="87" t="str">
        <f>IF(FN_MC!M355="","*",FN_MC!M355)</f>
        <v>TBR-TGR</v>
      </c>
      <c r="H428" s="125">
        <f>IF(FN_MC!K355="","*",FN_MC!K355)</f>
        <v>499.1</v>
      </c>
      <c r="I428" s="110">
        <f>IF(FN_MC!O355="","*",FN_MC!O355)</f>
        <v>0.41666666666666669</v>
      </c>
      <c r="J428" s="110">
        <f>IF(FN_MC!P355="","*",FN_MC!P355)</f>
        <v>8.3333333333333329E-2</v>
      </c>
      <c r="K428" s="118" t="str">
        <f>IF(FN_MC!AK355="","*",FN_MC!AK355)</f>
        <v>TAG2</v>
      </c>
      <c r="L428" s="118" t="str">
        <f>IF(FN_MC!AM355="","*",FN_MC!AM355)</f>
        <v>TBR-TGR</v>
      </c>
      <c r="M428" s="118">
        <f>IF(FN_MC!AP355="","*",FN_MC!AP355)</f>
        <v>499.1</v>
      </c>
      <c r="N428" s="118" t="str">
        <f>IF(FN_MC!AM355="","*",FN_MC!AM355)</f>
        <v>TBR-TGR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Contrato</v>
      </c>
      <c r="C430" s="87" t="str">
        <f>IF(FN_MC!S357="","*",FN_MC!S357)</f>
        <v>FERRONORTE</v>
      </c>
      <c r="D430" s="87" t="str">
        <f>IF(FN_MC!T357="","*",FN_MC!T357)</f>
        <v>TCS-TGR</v>
      </c>
      <c r="E430" s="87" t="str">
        <f>IF(FN_MC!D357="","*",FN_MC!D357)</f>
        <v>A60</v>
      </c>
      <c r="F430" s="87" t="str">
        <f>IF(FN_MC!H357="","*",FN_MC!H357)</f>
        <v>TCS291</v>
      </c>
      <c r="G430" s="87" t="str">
        <f>IF(FN_MC!M357="","*",FN_MC!M357)</f>
        <v>TCS-TIN</v>
      </c>
      <c r="H430" s="125">
        <f>IF(FN_MC!K357="","*",FN_MC!K357)</f>
        <v>290.77</v>
      </c>
      <c r="I430" s="110">
        <f>IF(FN_MC!O357="","*",FN_MC!O357)</f>
        <v>0.3125</v>
      </c>
      <c r="J430" s="110">
        <f>IF(FN_MC!P357="","*",FN_MC!P357)</f>
        <v>4.1666666666666664E-2</v>
      </c>
      <c r="K430" s="118" t="str">
        <f>IF(FN_MC!AK357="","*",FN_MC!AK357)</f>
        <v>TCS291</v>
      </c>
      <c r="L430" s="118" t="str">
        <f>IF(FN_MC!AM357="","*",FN_MC!AM357)</f>
        <v>TCS-TIN</v>
      </c>
      <c r="M430" s="118">
        <f>IF(FN_MC!AP357="","*",FN_MC!AP357)</f>
        <v>290.77</v>
      </c>
      <c r="N430" s="118" t="str">
        <f>IF(FN_MC!AM357="","*",FN_MC!AM357)</f>
        <v>TCS-TIN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Oportunidade</v>
      </c>
      <c r="C431" s="87" t="str">
        <f>IF(FN_MC!S358="","*",FN_MC!S358)</f>
        <v>FERRONORTE</v>
      </c>
      <c r="D431" s="87" t="str">
        <f>IF(FN_MC!T358="","*",FN_MC!T358)</f>
        <v>TMI-TCS</v>
      </c>
      <c r="E431" s="87" t="str">
        <f>IF(FN_MC!D358="","*",FN_MC!D358)</f>
        <v>W50</v>
      </c>
      <c r="F431" s="87" t="str">
        <f>IF(FN_MC!H358="","*",FN_MC!H358)</f>
        <v xml:space="preserve">TCS2 </v>
      </c>
      <c r="G431" s="87" t="str">
        <f>IF(FN_MC!M358="","*",FN_MC!M358)</f>
        <v>TCS-TIN</v>
      </c>
      <c r="H431" s="125">
        <f>IF(FN_MC!K358="","*",FN_MC!K358)</f>
        <v>290</v>
      </c>
      <c r="I431" s="110">
        <f>IF(FN_MC!O358="","*",FN_MC!O358)</f>
        <v>0.52083333333333337</v>
      </c>
      <c r="J431" s="110">
        <f>IF(FN_MC!P358="","*",FN_MC!P358)</f>
        <v>4.1666666666666664E-2</v>
      </c>
      <c r="K431" s="118" t="str">
        <f>IF(FN_MC!AK358="","*",FN_MC!AK358)</f>
        <v xml:space="preserve">TCS2 </v>
      </c>
      <c r="L431" s="118" t="str">
        <f>IF(FN_MC!AM358="","*",FN_MC!AM358)</f>
        <v>TCS-TIN</v>
      </c>
      <c r="M431" s="118">
        <f>IF(FN_MC!AP358="","*",FN_MC!AP358)</f>
        <v>290</v>
      </c>
      <c r="N431" s="118" t="str">
        <f>IF(FN_MC!AM358="","*",FN_MC!AM358)</f>
        <v>TCS-TIN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Oportunidade</v>
      </c>
      <c r="C432" s="87" t="str">
        <f>IF(FN_MC!S359="","*",FN_MC!S359)</f>
        <v>FERRONORTE</v>
      </c>
      <c r="D432" s="87" t="str">
        <f>IF(FN_MC!T359="","*",FN_MC!T359)</f>
        <v>TCS-TGR</v>
      </c>
      <c r="E432" s="87" t="str">
        <f>IF(FN_MC!D359="","*",FN_MC!D359)</f>
        <v>MARCOS (TF-520)</v>
      </c>
      <c r="F432" s="87" t="str">
        <f>IF(FN_MC!H359="","*",FN_MC!H359)</f>
        <v>-</v>
      </c>
      <c r="G432" s="87" t="str">
        <f>IF(FN_MC!M359="","*",FN_MC!M359)</f>
        <v>TCS-N</v>
      </c>
      <c r="H432" s="125">
        <f>IF(FN_MC!K359="","*",FN_MC!K359)</f>
        <v>290.75900000000001</v>
      </c>
      <c r="I432" s="110">
        <f>IF(FN_MC!O359="","*",FN_MC!O359)</f>
        <v>0.375</v>
      </c>
      <c r="J432" s="110">
        <f>IF(FN_MC!P359="","*",FN_MC!P359)</f>
        <v>6.25E-2</v>
      </c>
      <c r="K432" s="118" t="str">
        <f>IF(FN_MC!AK359="","*",FN_MC!AK359)</f>
        <v>-</v>
      </c>
      <c r="L432" s="118" t="str">
        <f>IF(FN_MC!AM359="","*",FN_MC!AM359)</f>
        <v>TCS-N</v>
      </c>
      <c r="M432" s="118">
        <f>IF(FN_MC!AP359="","*",FN_MC!AP359)</f>
        <v>290.75900000000001</v>
      </c>
      <c r="N432" s="118" t="str">
        <f>IF(FN_MC!AM359="","*",FN_MC!AM359)</f>
        <v>TCS-N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Oportunidade</v>
      </c>
      <c r="C433" s="87" t="str">
        <f>IF(FN_MC!S360="","*",FN_MC!S360)</f>
        <v>FERRONORTE</v>
      </c>
      <c r="D433" s="87" t="str">
        <f>IF(FN_MC!T360="","*",FN_MC!T360)</f>
        <v>TMI-TCS</v>
      </c>
      <c r="E433" s="87" t="str">
        <f>IF(FN_MC!D360="","*",FN_MC!D360)</f>
        <v>V48</v>
      </c>
      <c r="F433" s="87" t="str">
        <f>IF(FN_MC!H360="","*",FN_MC!H360)</f>
        <v>TVI</v>
      </c>
      <c r="G433" s="87" t="str">
        <f>IF(FN_MC!M360="","*",FN_MC!M360)</f>
        <v>TVI-TJA</v>
      </c>
      <c r="H433" s="125">
        <f>IF(FN_MC!K360="","*",FN_MC!K360)</f>
        <v>237.827</v>
      </c>
      <c r="I433" s="110">
        <f>IF(FN_MC!O360="","*",FN_MC!O360)</f>
        <v>0.375</v>
      </c>
      <c r="J433" s="110">
        <f>IF(FN_MC!P360="","*",FN_MC!P360)</f>
        <v>6.25E-2</v>
      </c>
      <c r="K433" s="118" t="str">
        <f>IF(FN_MC!AK360="","*",FN_MC!AK360)</f>
        <v>TVI</v>
      </c>
      <c r="L433" s="118" t="str">
        <f>IF(FN_MC!AM360="","*",FN_MC!AM360)</f>
        <v>TVI-TJA</v>
      </c>
      <c r="M433" s="118">
        <f>IF(FN_MC!AP360="","*",FN_MC!AP360)</f>
        <v>237.827</v>
      </c>
      <c r="N433" s="118" t="str">
        <f>IF(FN_MC!AM360="","*",FN_MC!AM360)</f>
        <v>TVI-TJA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Oportunidade</v>
      </c>
      <c r="C434" s="87" t="str">
        <f>IF(FN_MC!S361="","*",FN_MC!S361)</f>
        <v>MALHA CENTRAL</v>
      </c>
      <c r="D434" s="87" t="str">
        <f>IF(FN_MC!T361="","*",FN_MC!T361)</f>
        <v>RAMAL</v>
      </c>
      <c r="E434" s="87" t="str">
        <f>IF(FN_MC!D361="","*",FN_MC!D361)</f>
        <v>E18</v>
      </c>
      <c r="F434" s="87" t="str">
        <f>IF(FN_MC!H361="","*",FN_MC!H361)</f>
        <v>ZIQZQY</v>
      </c>
      <c r="G434" s="87" t="str">
        <f>IF(FN_MC!M361="","*",FN_MC!M361)</f>
        <v>ZIQ-ZQY</v>
      </c>
      <c r="H434" s="125">
        <f>IF(FN_MC!K361="","*",FN_MC!K361)</f>
        <v>177.22</v>
      </c>
      <c r="I434" s="110">
        <f>IF(FN_MC!O361="","*",FN_MC!O361)</f>
        <v>0.35416666666666669</v>
      </c>
      <c r="J434" s="110">
        <f>IF(FN_MC!P361="","*",FN_MC!P361)</f>
        <v>0.125</v>
      </c>
      <c r="K434" s="118" t="str">
        <f>IF(FN_MC!AK361="","*",FN_MC!AK361)</f>
        <v>ZIQZQY</v>
      </c>
      <c r="L434" s="118" t="str">
        <f>IF(FN_MC!AM361="","*",FN_MC!AM361)</f>
        <v>ZIQ-ZQY</v>
      </c>
      <c r="M434" s="118">
        <f>IF(FN_MC!AP361="","*",FN_MC!AP361)</f>
        <v>177.22</v>
      </c>
      <c r="N434" s="118" t="str">
        <f>IF(FN_MC!AM361="","*",FN_MC!AM361)</f>
        <v>ZIQ-ZQY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Oportunidade</v>
      </c>
      <c r="C435" s="87" t="str">
        <f>IF(FN_MC!S362="","*",FN_MC!S362)</f>
        <v>MALHA CENTRAL</v>
      </c>
      <c r="D435" s="87" t="str">
        <f>IF(FN_MC!T362="","*",FN_MC!T362)</f>
        <v>PRV-POV</v>
      </c>
      <c r="E435" s="87" t="str">
        <f>IF(FN_MC!D362="","*",FN_MC!D362)</f>
        <v>E14</v>
      </c>
      <c r="F435" s="87" t="str">
        <f>IF(FN_MC!H362="","*",FN_MC!H362)</f>
        <v>PSS2</v>
      </c>
      <c r="G435" s="87" t="str">
        <f>IF(FN_MC!M362="","*",FN_MC!M362)</f>
        <v>PSS-PIT</v>
      </c>
      <c r="H435" s="125">
        <f>IF(FN_MC!K362="","*",FN_MC!K362)</f>
        <v>2029</v>
      </c>
      <c r="I435" s="110">
        <f>IF(FN_MC!O362="","*",FN_MC!O362)</f>
        <v>0.99930555555555556</v>
      </c>
      <c r="J435" s="110">
        <f>IF(FN_MC!P362="","*",FN_MC!P362)</f>
        <v>4.1666666666666664E-2</v>
      </c>
      <c r="K435" s="118" t="str">
        <f>IF(FN_MC!AK362="","*",FN_MC!AK362)</f>
        <v>PSS2</v>
      </c>
      <c r="L435" s="118" t="str">
        <f>IF(FN_MC!AM362="","*",FN_MC!AM362)</f>
        <v>PSS-PIT</v>
      </c>
      <c r="M435" s="118">
        <f>IF(FN_MC!AP362="","*",FN_MC!AP362)</f>
        <v>2029</v>
      </c>
      <c r="N435" s="118" t="str">
        <f>IF(FN_MC!AM362="","*",FN_MC!AM362)</f>
        <v>PSS-PIT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1983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2026-02-28T12:58:57Z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