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147" documentId="8_{B6337239-1A00-434D-AAD0-422EA1FEB5AE}" xr6:coauthVersionLast="47" xr6:coauthVersionMax="47" xr10:uidLastSave="{83E54443-08FB-4FA9-801B-51D008B2FCA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Planilha2" sheetId="17" r:id="rId6"/>
    <sheet name="Planilha3" sheetId="18" r:id="rId7"/>
    <sheet name="Planilha4" sheetId="19" r:id="rId8"/>
    <sheet name="CONTROLE D" sheetId="11" r:id="rId9"/>
    <sheet name="CONTROLE D+1" sheetId="12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9" hidden="1">'CONTROLE D+1'!$A$2:$Y$3002</definedName>
    <definedName name="_xlnm._FilterDatabase" localSheetId="8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9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9" i="11" l="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A359" i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S362" i="1" a="1"/>
  <c r="S362" i="1"/>
  <c r="T362" i="1" a="1"/>
  <c r="T362" i="1"/>
  <c r="S363" i="1" a="1"/>
  <c r="S363" i="1"/>
  <c r="D361" i="12" s="1"/>
  <c r="T363" i="1" a="1"/>
  <c r="T363" i="1"/>
  <c r="E361" i="12" s="1"/>
  <c r="G357" i="1"/>
  <c r="G358" i="1"/>
  <c r="G360" i="1"/>
  <c r="G362" i="1"/>
  <c r="G363" i="1"/>
  <c r="G364" i="1"/>
  <c r="G365" i="1"/>
  <c r="G366" i="1"/>
  <c r="G367" i="1"/>
  <c r="G368" i="1"/>
  <c r="G369" i="1"/>
  <c r="H357" i="1" a="1"/>
  <c r="H357" i="1" s="1"/>
  <c r="F357" i="11" s="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A360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U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A362" i="1"/>
  <c r="C362" i="1"/>
  <c r="M362" i="1" a="1"/>
  <c r="M362" i="1" s="1"/>
  <c r="G362" i="11" s="1"/>
  <c r="N362" i="1" a="1"/>
  <c r="N362" i="1" s="1"/>
  <c r="L360" i="12" s="1"/>
  <c r="R362" i="1"/>
  <c r="U362" i="1"/>
  <c r="AI362" i="1"/>
  <c r="BB362" i="1" s="1"/>
  <c r="AJ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363" i="1"/>
  <c r="C363" i="1"/>
  <c r="M363" i="1" a="1"/>
  <c r="M363" i="1" s="1"/>
  <c r="N363" i="1" a="1"/>
  <c r="N363" i="1" s="1"/>
  <c r="L361" i="12" s="1"/>
  <c r="R363" i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M364" i="1" a="1"/>
  <c r="M364" i="1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M366" i="1" a="1"/>
  <c r="M366" i="1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M369" i="1" a="1"/>
  <c r="M369" i="1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L368" i="12"/>
  <c r="R370" i="1"/>
  <c r="S370" i="1" a="1"/>
  <c r="S370" i="1" s="1"/>
  <c r="D368" i="12" s="1"/>
  <c r="T370" i="1" a="1"/>
  <c r="T370" i="1" s="1"/>
  <c r="E368" i="12" s="1"/>
  <c r="U370" i="1"/>
  <c r="AI370" i="1"/>
  <c r="BB370" i="1" s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2" i="12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L375" i="12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4" i="1" l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L364" i="11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117" i="11" l="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<sst xmlns="http://schemas.openxmlformats.org/spreadsheetml/2006/main" count="9689" uniqueCount="1971">
  <si>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</si>
  <si>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</si>
  <si>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</si>
  <si>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</si>
  <si>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</si>
  <si>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</si>
  <si>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</si>
  <si>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</si>
  <si>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</si>
  <si>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</si>
  <si>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</si>
  <si>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</si>
  <si>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</si>
  <si>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</si>
  <si>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</si>
  <si>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</si>
  <si>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</si>
  <si>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</si>
  <si>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</si>
  <si>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</si>
  <si>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</si>
  <si>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</si>
  <si>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</si>
  <si>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</si>
  <si>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</si>
  <si>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</si>
  <si>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</si>
  <si>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</si>
  <si>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</si>
  <si>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</si>
  <si>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</si>
  <si>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</si>
  <si>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</si>
  <si>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</si>
  <si>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</si>
  <si>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</si>
  <si>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</si>
  <si>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</si>
  <si>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</si>
  <si>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</si>
  <si>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</si>
  <si>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</si>
  <si>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</si>
  <si>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</si>
  <si>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</si>
  <si>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</si>
  <si>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</si>
  <si>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</si>
  <si>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</si>
  <si>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</si>
  <si>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</si>
  <si>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</si>
  <si>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</si>
  <si>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</si>
  <si>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</si>
  <si>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</si>
  <si>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</si>
  <si>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</si>
  <si>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</si>
  <si>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</si>
  <si>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</si>
  <si>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</si>
  <si>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</si>
  <si>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</si>
  <si>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</si>
  <si>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</si>
  <si>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</si>
  <si>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</si>
  <si>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</si>
  <si>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</si>
  <si>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</si>
  <si>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</si>
  <si>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</si>
  <si>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</si>
  <si>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</si>
  <si>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</si>
  <si>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</si>
  <si>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</si>
  <si>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</si>
  <si>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</si>
  <si>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</si>
  <si>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</si>
  <si>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</si>
  <si>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</si>
  <si>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</si>
  <si>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</si>
  <si>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</si>
  <si>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</si>
  <si>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</si>
  <si>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</si>
  <si>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</si>
  <si>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</si>
  <si>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</si>
  <si>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</si>
  <si>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</si>
  <si>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</si>
  <si>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</si>
  <si>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</si>
  <si>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</si>
  <si>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</si>
  <si>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</si>
  <si>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</si>
  <si>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</si>
  <si>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</si>
  <si>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</si>
  <si>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</si>
  <si>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</si>
  <si>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</si>
  <si>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</si>
  <si>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</si>
  <si>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</si>
  <si>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</si>
  <si>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</si>
  <si>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</si>
  <si>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</si>
  <si>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</si>
  <si>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</si>
  <si>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</si>
  <si>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</si>
  <si>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</si>
  <si>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</si>
  <si>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</si>
  <si>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</si>
  <si>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</si>
  <si>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</si>
  <si>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</si>
  <si>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</si>
  <si>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</si>
  <si>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</si>
  <si>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</si>
  <si>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</si>
  <si>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</si>
  <si>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</si>
  <si>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</si>
  <si>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</si>
  <si>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</si>
  <si>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</si>
  <si>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</si>
  <si>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</si>
  <si>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</si>
  <si>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</si>
  <si>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</si>
  <si>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</si>
  <si>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</si>
  <si>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</si>
  <si>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</si>
  <si>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</si>
  <si>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</si>
  <si>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</si>
  <si>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</si>
  <si>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</si>
  <si>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</si>
  <si>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</si>
  <si>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</si>
  <si>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</si>
  <si>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</si>
  <si>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</si>
  <si>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</si>
  <si>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</si>
  <si>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</si>
  <si>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</si>
  <si>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</si>
  <si>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</si>
  <si>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</si>
  <si>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</si>
  <si>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</si>
  <si>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</si>
  <si>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</si>
  <si>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</si>
  <si>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</si>
  <si>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</si>
  <si>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</si>
  <si>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</si>
  <si>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</si>
  <si>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</si>
  <si>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</si>
  <si>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</si>
  <si>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</si>
  <si>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</si>
  <si>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</si>
  <si>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</si>
  <si>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</si>
  <si>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</si>
  <si>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</si>
  <si>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</si>
  <si>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</si>
  <si>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</si>
  <si>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</si>
  <si>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</si>
  <si>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</si>
  <si>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</si>
  <si>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</si>
  <si>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</si>
  <si>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</si>
  <si>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</si>
  <si>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</si>
  <si>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</si>
  <si>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</si>
  <si>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</si>
  <si>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</si>
  <si>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</si>
  <si>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</si>
  <si>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</si>
  <si>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</si>
  <si>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</si>
  <si>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</si>
  <si>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</si>
  <si>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</si>
  <si>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</si>
  <si>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</si>
  <si>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</si>
  <si>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</si>
  <si>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</si>
  <si>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</si>
  <si>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</si>
  <si>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</si>
  <si>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</si>
  <si>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</si>
  <si>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</si>
  <si>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</si>
  <si>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</si>
  <si>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</si>
  <si>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</si>
  <si>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</si>
  <si>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</si>
  <si>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</si>
  <si>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</si>
  <si>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</si>
  <si>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</si>
  <si>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</si>
  <si>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</si>
  <si>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</si>
  <si>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</si>
  <si>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</si>
  <si>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</si>
  <si>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</si>
  <si>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</si>
  <si>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</si>
  <si>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</si>
  <si>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</si>
  <si>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</si>
  <si>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</si>
  <si>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</si>
  <si>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</si>
  <si>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</si>
  <si>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</si>
  <si>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</si>
  <si>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</si>
  <si>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</si>
  <si>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</si>
  <si>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</si>
  <si>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</si>
  <si>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</si>
  <si>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</si>
  <si>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</si>
  <si>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</si>
  <si>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</si>
  <si>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</si>
  <si>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</si>
  <si>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</si>
  <si>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</si>
  <si>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</si>
  <si>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</si>
  <si>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</si>
  <si>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</si>
  <si>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</si>
  <si>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</si>
  <si>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</si>
  <si>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</si>
  <si>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</si>
  <si>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</si>
  <si>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</si>
  <si>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</si>
  <si>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</si>
  <si>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</si>
  <si>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</si>
  <si>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</si>
  <si>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</si>
  <si>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</si>
  <si>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</si>
  <si>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</si>
  <si>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</si>
  <si>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</si>
  <si>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</si>
  <si>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</si>
  <si>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</si>
  <si>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</si>
  <si>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</si>
  <si>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</si>
  <si>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</si>
  <si>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</si>
  <si>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</si>
  <si>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</si>
  <si>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</si>
  <si>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</si>
  <si>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</si>
  <si>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</si>
  <si>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</si>
  <si>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</si>
  <si>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</si>
  <si>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</si>
  <si>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</si>
  <si>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</si>
  <si>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</si>
  <si>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</si>
  <si>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</si>
  <si>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</si>
  <si>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</si>
  <si>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</si>
  <si>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</si>
  <si>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</si>
  <si>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</si>
  <si>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</si>
  <si>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</si>
  <si>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</si>
  <si>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</si>
  <si>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</si>
  <si>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</si>
  <si>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</si>
  <si>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</si>
  <si>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</si>
  <si>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</si>
  <si>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</si>
  <si>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</si>
  <si>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</si>
  <si>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</si>
  <si>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</si>
  <si>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</si>
  <si>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</si>
  <si>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</si>
  <si>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</si>
  <si>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</si>
  <si>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</si>
  <si>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</si>
  <si>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</si>
  <si>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</si>
  <si>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</si>
  <si>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</si>
  <si>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</si>
  <si>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</si>
  <si>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</si>
  <si>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</si>
  <si>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</si>
  <si>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</si>
  <si>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</si>
  <si>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</si>
  <si>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</si>
  <si>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</si>
  <si>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</si>
  <si>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</si>
  <si>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</si>
  <si>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</si>
  <si>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</si>
  <si>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</si>
  <si>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</si>
  <si>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</si>
  <si>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</si>
  <si>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</si>
  <si>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</si>
  <si>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</si>
  <si>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</si>
  <si>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</si>
  <si>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</si>
  <si>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</si>
  <si>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</si>
  <si>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</si>
  <si>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</si>
  <si>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</si>
  <si>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</si>
  <si>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</si>
  <si>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</si>
  <si>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</si>
  <si>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</si>
  <si>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</si>
  <si>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</si>
  <si>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</si>
  <si>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</si>
  <si>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</si>
  <si>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</si>
  <si>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</si>
  <si>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</si>
  <si>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</si>
  <si>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</si>
  <si>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</si>
  <si>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</si>
  <si>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</si>
  <si>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</si>
  <si>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</si>
  <si>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</si>
  <si>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</si>
  <si>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</si>
  <si>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</si>
  <si>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</si>
  <si>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</si>
  <si>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</si>
  <si>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</si>
  <si>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</si>
  <si>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</si>
  <si>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</si>
  <si>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</si>
  <si>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</si>
  <si>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</si>
  <si>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</si>
  <si>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</si>
  <si>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</si>
  <si>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</si>
  <si>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</si>
  <si>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</si>
  <si>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</si>
  <si>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</si>
  <si>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</si>
  <si>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</si>
  <si>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</si>
  <si>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</si>
  <si>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</si>
  <si>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</si>
  <si>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</si>
  <si>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</si>
  <si>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</si>
  <si>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</si>
  <si>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</si>
  <si>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</si>
  <si>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</si>
  <si>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</si>
  <si>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</si>
  <si>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</si>
  <si>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</si>
  <si>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</si>
  <si>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</si>
  <si>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</si>
  <si>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</si>
  <si>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</si>
  <si>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</si>
  <si>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</si>
  <si>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</si>
  <si>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</si>
  <si>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</si>
  <si>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</si>
  <si>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</si>
  <si>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</si>
  <si>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</si>
  <si>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</si>
  <si>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</si>
  <si>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</si>
  <si>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</si>
  <si>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</si>
  <si>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</si>
  <si>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</si>
  <si>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</si>
  <si>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</si>
  <si>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</si>
  <si>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</si>
  <si>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</si>
  <si>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</si>
  <si>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</si>
  <si>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</si>
  <si>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</si>
  <si>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</si>
  <si>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</si>
  <si>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</si>
  <si>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</si>
  <si>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</si>
  <si>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</si>
  <si>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</si>
  <si>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</si>
  <si>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</si>
  <si>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</si>
  <si>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</si>
  <si>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</si>
  <si>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</si>
  <si>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</si>
  <si>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</si>
  <si>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</si>
  <si>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</si>
  <si>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</si>
  <si>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</si>
  <si>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</si>
  <si>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</si>
  <si>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</si>
  <si>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</si>
  <si>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</si>
  <si>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</si>
  <si>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</si>
  <si>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</si>
  <si>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</si>
  <si>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</si>
  <si>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</si>
  <si>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</si>
  <si>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</si>
  <si>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</si>
  <si>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</si>
  <si>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</si>
  <si>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</si>
  <si>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</si>
  <si>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</si>
  <si>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</si>
  <si>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</si>
  <si>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</si>
  <si>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</si>
  <si>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</si>
  <si>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</si>
  <si>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</si>
  <si>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</si>
  <si>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</si>
  <si>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</si>
  <si>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</si>
  <si>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</si>
  <si>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</si>
  <si>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</si>
  <si>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</si>
  <si>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</si>
  <si>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</si>
  <si>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</si>
  <si>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</si>
  <si>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</si>
  <si>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</si>
  <si>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</si>
  <si>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</si>
  <si>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</si>
  <si>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</si>
  <si>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</si>
  <si>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</si>
  <si>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</si>
  <si>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</si>
  <si>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</si>
  <si>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</si>
  <si>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</si>
  <si>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</si>
  <si>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</si>
  <si>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</si>
  <si>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</si>
  <si>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</si>
  <si>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</si>
  <si>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</si>
  <si>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</si>
  <si>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</si>
  <si>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</si>
  <si>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</si>
  <si>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</si>
  <si>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</si>
  <si>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</si>
  <si>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</si>
  <si>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</si>
  <si>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</si>
  <si>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</si>
  <si>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</si>
  <si>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</si>
  <si>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</si>
  <si>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</si>
  <si>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</si>
  <si>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</si>
  <si>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</si>
  <si>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</si>
  <si>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</si>
  <si>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</si>
  <si>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</si>
  <si>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</si>
  <si>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</si>
  <si>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</si>
  <si>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</si>
  <si>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</si>
  <si>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</si>
  <si>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</si>
  <si>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</si>
  <si>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</si>
  <si>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</si>
  <si>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</si>
  <si>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</si>
  <si>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</si>
  <si>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</si>
  <si>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</si>
  <si>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</si>
  <si>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</si>
  <si>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</si>
  <si>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</si>
  <si>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</si>
  <si>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</si>
  <si>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</si>
  <si>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</si>
  <si>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</si>
  <si>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</si>
  <si>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</si>
  <si>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</si>
  <si>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</si>
  <si>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</si>
  <si>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</si>
  <si>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</si>
  <si>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</si>
  <si>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</si>
  <si>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</si>
  <si>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</si>
  <si>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</si>
  <si>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</si>
  <si>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</si>
  <si>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</si>
  <si>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</si>
  <si>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</si>
  <si>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</si>
  <si>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</si>
  <si>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</si>
  <si>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</si>
  <si>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</si>
  <si>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</si>
  <si>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</si>
  <si>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</si>
  <si>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</si>
  <si>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</si>
  <si>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</si>
  <si>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</si>
  <si>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</si>
  <si>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</si>
  <si>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</si>
  <si>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</si>
  <si>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</si>
  <si>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</si>
  <si>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</si>
  <si>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</si>
  <si>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</si>
  <si>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</si>
  <si>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</si>
  <si>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</si>
  <si>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</si>
  <si>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</si>
  <si>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</si>
  <si>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</si>
  <si>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</si>
  <si>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</si>
  <si>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</si>
  <si>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</si>
  <si>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</si>
  <si>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</si>
  <si>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</si>
  <si>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</si>
  <si>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</si>
  <si>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</si>
  <si>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</si>
  <si>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</si>
  <si>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</si>
  <si>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</si>
  <si>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</si>
  <si>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</si>
  <si>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</si>
  <si>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</si>
  <si>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</si>
  <si>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</si>
  <si>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</si>
  <si>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</si>
  <si>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</si>
  <si>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</si>
  <si>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</si>
  <si>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</si>
  <si>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</si>
  <si>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</si>
  <si>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</si>
  <si>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</si>
  <si>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</si>
  <si>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</si>
  <si>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</si>
  <si>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</si>
  <si>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</si>
  <si>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</si>
  <si>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</si>
  <si>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</si>
  <si>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</si>
  <si>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</si>
  <si>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</si>
  <si>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</si>
  <si>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</si>
  <si>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</si>
  <si>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</si>
  <si>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</si>
  <si>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</si>
  <si>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</si>
  <si>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</si>
  <si>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</si>
  <si>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</si>
  <si>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</si>
  <si>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</si>
  <si>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</si>
  <si>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</si>
  <si>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</si>
  <si>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</si>
  <si>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</si>
  <si>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</si>
  <si>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</si>
  <si>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</si>
  <si>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</si>
  <si>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</si>
  <si>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</si>
  <si>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</si>
  <si>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</si>
  <si>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</si>
  <si>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</si>
  <si>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</si>
  <si>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</si>
  <si>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</si>
  <si>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</si>
  <si>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</si>
  <si>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</si>
  <si>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</si>
  <si>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</si>
  <si>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</si>
  <si>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</si>
  <si>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</si>
  <si>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</si>
  <si>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</si>
  <si>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</si>
  <si>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</si>
  <si>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</si>
  <si>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</si>
  <si>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</si>
  <si>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</si>
  <si>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</si>
  <si>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</si>
  <si>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</si>
  <si>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</si>
  <si>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</si>
  <si>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</si>
  <si>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</si>
  <si>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</si>
  <si>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</si>
  <si>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</si>
  <si>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</si>
  <si>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</si>
  <si>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</si>
  <si>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</si>
  <si>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</si>
  <si>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</si>
  <si>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</si>
  <si>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</si>
  <si>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</si>
  <si>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</si>
  <si>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</si>
  <si>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</si>
  <si>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</si>
  <si>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</si>
  <si>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</si>
  <si>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</si>
  <si>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</si>
  <si>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</si>
  <si>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</si>
  <si>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</si>
  <si>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</si>
  <si>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</si>
  <si>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</si>
  <si>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</si>
  <si>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</si>
  <si>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</si>
  <si>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</si>
  <si>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</si>
  <si>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</si>
  <si>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</si>
  <si>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</si>
  <si>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</si>
  <si>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</si>
  <si>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</si>
  <si>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</si>
  <si>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</si>
  <si>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</si>
  <si>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</si>
  <si>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</si>
  <si>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</si>
  <si>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</si>
  <si>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</si>
  <si>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</si>
  <si>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</si>
  <si>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</si>
  <si>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</si>
  <si>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</si>
  <si>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</si>
  <si>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</si>
  <si>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</si>
  <si>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</si>
  <si>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</si>
  <si>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</si>
  <si>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</si>
  <si>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</si>
  <si>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</si>
  <si>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</si>
  <si>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</si>
  <si>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</si>
  <si>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</si>
  <si>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</si>
  <si>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</si>
  <si>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</si>
  <si>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</si>
  <si>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</si>
  <si>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</si>
  <si>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</si>
  <si>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</si>
  <si>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</si>
  <si>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</si>
  <si>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</si>
  <si>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</si>
  <si>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</si>
  <si>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</si>
  <si>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</si>
  <si>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</si>
  <si>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</si>
  <si>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</si>
  <si>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</si>
  <si>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</si>
  <si>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</si>
  <si>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</si>
  <si>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</si>
  <si>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</si>
  <si>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</si>
  <si>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</si>
  <si>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</si>
  <si>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</si>
  <si>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</si>
  <si>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</si>
  <si>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</si>
  <si>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</si>
  <si>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</si>
  <si>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</si>
  <si>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</si>
  <si>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</si>
  <si>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</si>
  <si>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</si>
  <si>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</si>
  <si>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</si>
  <si>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</si>
  <si>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</si>
  <si>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</si>
  <si>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</si>
  <si>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</si>
  <si>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</si>
  <si>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</si>
  <si>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</si>
  <si>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</si>
  <si>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</si>
  <si>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</si>
  <si>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</si>
  <si>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</si>
  <si>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</si>
  <si>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</si>
  <si>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</si>
  <si>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</si>
  <si>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</si>
  <si>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</si>
  <si>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</si>
  <si>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</si>
  <si>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</si>
  <si>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</si>
  <si>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</si>
  <si>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</si>
  <si>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</si>
  <si>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</si>
  <si>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</si>
  <si>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</si>
  <si>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</si>
  <si>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</si>
  <si>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</si>
  <si>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</si>
  <si>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</si>
  <si>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</si>
  <si>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</si>
  <si>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</si>
  <si>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</si>
  <si>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</si>
  <si>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</si>
  <si>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</si>
  <si>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</si>
  <si>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</si>
  <si>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</si>
  <si>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</si>
  <si>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</si>
  <si>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</si>
  <si>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</si>
  <si>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</si>
  <si>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</si>
  <si>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</si>
  <si>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</si>
  <si>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</si>
  <si>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</si>
  <si>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</si>
  <si>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</si>
  <si>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</si>
  <si>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</si>
  <si>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</si>
  <si>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</si>
  <si>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</si>
  <si>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</si>
  <si>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</si>
  <si>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</si>
  <si>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</si>
  <si>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</si>
  <si>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</si>
  <si>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</si>
  <si>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</si>
  <si>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</si>
  <si>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</si>
  <si>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</si>
  <si>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</si>
  <si>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</si>
  <si>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</si>
  <si>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</si>
  <si>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</si>
  <si>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</si>
  <si>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</si>
  <si>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</si>
  <si>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</si>
  <si>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</si>
  <si>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</si>
  <si>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</si>
  <si>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</si>
  <si>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</si>
  <si>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</si>
  <si>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</si>
  <si>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</si>
  <si>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</si>
  <si>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</si>
  <si>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</si>
  <si>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</si>
  <si>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</si>
  <si>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</si>
  <si>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</si>
  <si>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</si>
  <si>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</si>
  <si>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</si>
  <si>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</si>
  <si>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</si>
  <si>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</si>
  <si>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</si>
  <si>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</si>
  <si>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</si>
  <si>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</si>
  <si>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</si>
  <si>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</si>
  <si>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</si>
  <si>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</si>
  <si>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</si>
  <si>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</si>
  <si>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</si>
  <si>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</si>
  <si>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</si>
  <si>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</si>
  <si>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</si>
  <si>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</si>
  <si>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</si>
  <si>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</si>
  <si>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</si>
  <si>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</si>
  <si>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</si>
  <si>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</si>
  <si>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</si>
  <si>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</si>
  <si>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</si>
  <si>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</si>
  <si>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</si>
  <si>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</si>
  <si>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</si>
  <si>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</si>
  <si>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</si>
  <si>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</si>
  <si>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</si>
  <si>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</si>
  <si>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</si>
  <si>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</si>
  <si>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</si>
  <si>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</si>
  <si>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</si>
  <si>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</si>
  <si>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</si>
  <si>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</si>
  <si>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</si>
  <si>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</si>
  <si>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</si>
  <si>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</si>
  <si>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</si>
  <si>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</si>
  <si>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</si>
  <si>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</si>
  <si>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</si>
  <si>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</si>
  <si>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</si>
  <si>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</si>
  <si>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</si>
  <si>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</si>
  <si>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</si>
  <si>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</si>
  <si>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</si>
  <si>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</si>
  <si>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</si>
  <si>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</si>
  <si>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</si>
  <si>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</si>
  <si>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</si>
  <si>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</si>
  <si>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</si>
  <si>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</si>
  <si>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</si>
  <si>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</si>
  <si>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</si>
  <si>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</si>
  <si>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</si>
  <si>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</si>
  <si>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</si>
  <si>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</si>
  <si>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</si>
  <si>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</si>
  <si>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</si>
  <si>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</si>
  <si>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</si>
  <si>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</si>
  <si>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</si>
  <si>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</si>
  <si>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</si>
  <si>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</si>
  <si>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</si>
  <si>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</si>
  <si>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</si>
  <si>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</si>
  <si>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</si>
  <si>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</si>
  <si>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</si>
  <si>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</si>
  <si>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</si>
  <si>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</si>
  <si>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</si>
  <si>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</si>
  <si>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</si>
  <si>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</si>
  <si>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</si>
  <si>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</si>
  <si>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</si>
  <si>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</si>
  <si>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</si>
  <si>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</si>
  <si>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</si>
  <si>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</si>
  <si>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</si>
  <si>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</si>
  <si>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</si>
  <si>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</si>
  <si>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</si>
  <si>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</si>
  <si>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</si>
  <si>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</si>
  <si>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</si>
  <si>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</si>
  <si>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</si>
  <si>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</si>
  <si>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</si>
  <si>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</si>
  <si>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</si>
  <si>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</si>
  <si>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</si>
  <si>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</si>
  <si>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</si>
  <si>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</si>
  <si>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</si>
  <si>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</si>
  <si>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</si>
  <si>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</si>
  <si>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</si>
  <si>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</si>
  <si>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</si>
  <si>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</si>
  <si>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</si>
  <si>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</si>
  <si>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</si>
  <si>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</si>
  <si>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</si>
  <si>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</si>
  <si>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</si>
  <si>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</si>
  <si>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</si>
  <si>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</si>
  <si>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</si>
  <si>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</si>
  <si>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</si>
  <si>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</si>
  <si>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</si>
  <si>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</si>
  <si>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</si>
  <si>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</si>
  <si>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</si>
  <si>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</si>
  <si>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</si>
  <si>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</si>
  <si>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</si>
  <si>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</si>
  <si>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</si>
  <si>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</si>
  <si>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</si>
  <si>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</si>
  <si>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</si>
  <si>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</si>
  <si>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</si>
  <si>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</si>
  <si>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</si>
  <si>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</si>
  <si>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</si>
  <si>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</si>
  <si>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</si>
  <si>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</si>
  <si>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</si>
  <si>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</si>
  <si>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</si>
  <si>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</si>
  <si>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</si>
  <si>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</si>
  <si>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</si>
  <si>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</si>
  <si>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</si>
  <si>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</si>
  <si>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</si>
  <si>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</si>
  <si>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</si>
  <si>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</si>
  <si>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</si>
  <si>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</si>
  <si>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</si>
  <si>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</si>
  <si>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</si>
  <si>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</si>
  <si>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</si>
  <si>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</si>
  <si>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</si>
  <si>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</si>
  <si>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</si>
  <si>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</si>
  <si>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</si>
  <si>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</si>
  <si>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</si>
  <si>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</si>
  <si>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</si>
  <si>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</si>
  <si>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</si>
  <si>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</si>
  <si>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</si>
  <si>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</si>
  <si>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</si>
  <si>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</si>
  <si>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</si>
  <si>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</si>
  <si>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</si>
  <si>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</si>
  <si>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</si>
  <si>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</si>
  <si>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</si>
  <si>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</si>
  <si>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</si>
  <si>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</si>
  <si>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</si>
  <si>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</si>
  <si>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</si>
  <si>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</si>
  <si>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</si>
  <si>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</si>
  <si>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</si>
  <si>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</si>
  <si>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</si>
  <si>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</si>
  <si>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</si>
  <si>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</si>
  <si>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</si>
  <si>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</si>
  <si>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</si>
  <si>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</si>
  <si>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</si>
  <si>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</si>
  <si>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</si>
  <si>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</si>
  <si>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</si>
  <si>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</si>
  <si>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</si>
  <si>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</si>
  <si>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</si>
  <si>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</si>
  <si>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</si>
  <si>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</si>
  <si>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</si>
  <si>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</si>
  <si>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</si>
  <si>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</si>
  <si>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</si>
  <si>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</si>
  <si>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</si>
  <si>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</si>
  <si>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</si>
  <si>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</si>
  <si>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</si>
  <si>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</si>
  <si>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</si>
  <si>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</si>
  <si>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</si>
  <si>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</si>
  <si>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</si>
  <si>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</si>
  <si>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</si>
  <si>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</si>
  <si>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</si>
  <si>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</si>
  <si>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</si>
  <si>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</si>
  <si>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</si>
  <si>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</si>
  <si>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</si>
  <si>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</si>
  <si>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</si>
  <si>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</si>
  <si>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</si>
  <si>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</si>
  <si>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</si>
  <si>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</si>
  <si>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</si>
  <si>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</si>
  <si>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</si>
  <si>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</si>
  <si>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</si>
  <si>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</si>
  <si>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</si>
  <si>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</si>
  <si>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</si>
  <si>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</si>
  <si>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</si>
  <si>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</si>
  <si>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</si>
  <si>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</si>
  <si>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</si>
  <si>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</si>
  <si>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</si>
  <si>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</si>
  <si>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</si>
  <si>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</si>
  <si>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</si>
  <si>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</si>
  <si>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</si>
  <si>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</si>
  <si>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</si>
  <si>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</si>
  <si>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</si>
  <si>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</si>
  <si>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</si>
  <si>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</si>
  <si>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</si>
  <si>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</si>
  <si>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</si>
  <si>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</si>
  <si>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</si>
  <si>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</si>
  <si>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</si>
  <si>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</si>
  <si>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</si>
  <si>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</si>
  <si>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</si>
  <si>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</si>
  <si>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</si>
  <si>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</si>
  <si>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</si>
  <si>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</si>
  <si>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</si>
  <si>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</si>
  <si>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</si>
  <si>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</si>
  <si>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</si>
  <si>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</si>
  <si>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</si>
  <si>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</si>
  <si>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</si>
  <si>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</si>
  <si>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</si>
  <si>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</si>
  <si>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</si>
  <si>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</si>
  <si>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</si>
  <si>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</si>
  <si>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</si>
  <si>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</si>
  <si>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</si>
  <si>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</si>
  <si>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</si>
  <si>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</si>
  <si>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</si>
  <si>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</si>
  <si>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</si>
  <si>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</si>
  <si>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</si>
  <si>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</si>
  <si>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</si>
  <si>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</si>
  <si>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</si>
  <si>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</si>
  <si>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</si>
  <si>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</si>
  <si>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</si>
  <si>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</si>
  <si>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</si>
  <si>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</si>
  <si>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</si>
  <si>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</si>
  <si>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</si>
  <si>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</si>
  <si>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</si>
  <si>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</si>
  <si>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</si>
  <si>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</si>
  <si>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</si>
  <si>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</si>
  <si>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</si>
  <si>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</si>
  <si>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</si>
  <si>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</si>
  <si>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</si>
  <si>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</si>
  <si>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</si>
  <si>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</si>
  <si>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</si>
  <si>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</si>
  <si>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</si>
  <si>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</si>
  <si>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</si>
  <si>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</si>
  <si>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</si>
  <si>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</si>
  <si>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</si>
  <si>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</si>
  <si>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</si>
  <si>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</si>
  <si>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</si>
  <si>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</si>
  <si>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</si>
  <si>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</si>
  <si>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</si>
  <si>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</si>
  <si>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</si>
  <si>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</si>
  <si>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</si>
  <si>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</si>
  <si>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</si>
  <si>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</si>
  <si>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</si>
  <si>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</si>
  <si>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</si>
  <si>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</si>
  <si>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</si>
  <si>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</si>
  <si>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</si>
  <si>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</si>
  <si>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</si>
  <si>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</si>
  <si>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</si>
  <si>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</si>
  <si>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</si>
  <si>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</si>
  <si>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</si>
  <si>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</si>
  <si>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</si>
  <si>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</si>
  <si>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</si>
  <si>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</si>
  <si>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</si>
  <si>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</si>
  <si>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</si>
  <si>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</si>
  <si>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</si>
  <si>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</si>
  <si>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</si>
  <si>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</si>
  <si>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</si>
  <si>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</si>
  <si>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</si>
  <si>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</si>
  <si>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</si>
  <si>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</si>
  <si>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</si>
  <si>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</si>
  <si>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</si>
  <si>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</si>
  <si>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</si>
  <si>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</si>
  <si>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</si>
  <si>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</si>
  <si>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</si>
  <si>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</si>
  <si>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</si>
  <si>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</si>
  <si>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</si>
  <si>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</si>
  <si>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</si>
  <si>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</si>
  <si>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</si>
  <si>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</si>
  <si>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</si>
  <si>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</si>
  <si>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</si>
  <si>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</si>
  <si>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</si>
  <si>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</si>
  <si>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</si>
  <si>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</si>
  <si>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</si>
  <si>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</si>
  <si>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</si>
  <si>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</si>
  <si>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</si>
  <si>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</si>
  <si>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</si>
  <si>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</si>
  <si>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</si>
  <si>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</si>
  <si>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</si>
  <si>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</si>
  <si>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</si>
  <si>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</si>
  <si>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</si>
  <si>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</si>
  <si>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</si>
  <si>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</si>
  <si>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</si>
  <si>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</si>
  <si>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</si>
  <si>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</si>
  <si>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</si>
  <si>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</si>
  <si>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</si>
  <si>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</si>
  <si>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</si>
  <si>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</si>
  <si>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</si>
  <si>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</si>
  <si>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</si>
  <si>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</si>
  <si>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</si>
  <si>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</si>
  <si>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</si>
  <si>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</si>
  <si>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</si>
  <si>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</si>
  <si>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</si>
  <si>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</si>
  <si>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</si>
  <si>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</si>
  <si>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</si>
  <si>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</si>
  <si>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</si>
  <si>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</si>
  <si>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</si>
  <si>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</si>
  <si>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</si>
  <si>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</si>
  <si>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</si>
  <si>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</si>
  <si>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</si>
  <si>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</si>
  <si>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</si>
  <si>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</si>
  <si>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</si>
  <si>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</si>
  <si>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</si>
  <si>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</si>
  <si>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</si>
  <si>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</si>
  <si>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</si>
  <si>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</si>
  <si>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</si>
  <si>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</si>
  <si>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</si>
  <si>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</si>
  <si>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</si>
  <si>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</si>
  <si>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</si>
  <si>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</si>
  <si>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</si>
  <si>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</si>
  <si>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</si>
  <si>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</si>
  <si>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</si>
  <si>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</si>
  <si>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</si>
  <si>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</si>
  <si>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</si>
  <si>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</si>
  <si>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</si>
  <si>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</si>
  <si>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</si>
  <si>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</si>
  <si>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</si>
  <si>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</si>
  <si>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</si>
  <si>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</si>
  <si>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</si>
  <si>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</si>
  <si>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</si>
  <si>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</si>
  <si>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</si>
  <si>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</si>
  <si>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</si>
  <si>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</si>
  <si>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</si>
  <si>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</si>
  <si>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</si>
  <si>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</si>
  <si>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</si>
  <si>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</si>
  <si>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</si>
  <si>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</si>
  <si>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</si>
  <si>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</si>
  <si>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</si>
  <si>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</si>
  <si>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</si>
  <si>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</si>
  <si>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</si>
  <si>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</si>
  <si>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</si>
  <si>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</si>
  <si>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</si>
  <si>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</si>
  <si>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</si>
  <si>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</si>
  <si>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</si>
  <si>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</si>
  <si>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</si>
  <si>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</si>
  <si>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</si>
  <si>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</si>
  <si>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</si>
  <si>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</si>
  <si>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</si>
  <si>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</si>
  <si>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</si>
  <si>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</si>
  <si>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</si>
  <si>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</si>
  <si>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</si>
  <si>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</si>
  <si>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</si>
  <si>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</si>
  <si>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</si>
  <si>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</si>
  <si>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</si>
  <si>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</si>
  <si>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</si>
  <si>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</si>
  <si>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</si>
  <si>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</si>
  <si>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</si>
  <si>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</si>
  <si>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</si>
  <si>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</si>
  <si>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</si>
  <si>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</si>
  <si>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</si>
  <si>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</si>
  <si>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</si>
  <si>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</si>
  <si>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</si>
  <si>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</si>
  <si>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</si>
  <si>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</si>
  <si>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</si>
  <si>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</si>
  <si>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</si>
  <si>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</si>
  <si>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</si>
  <si>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</si>
  <si>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</si>
  <si>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</si>
  <si>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</si>
  <si>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</si>
  <si>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</si>
  <si>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</si>
  <si>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</si>
  <si>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</si>
  <si>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</si>
  <si>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</si>
  <si>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</si>
  <si>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</si>
  <si>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</si>
  <si>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</si>
  <si>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</si>
  <si>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</si>
  <si>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</si>
  <si>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</si>
  <si>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</si>
  <si>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</si>
  <si>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</si>
  <si>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</si>
  <si>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</si>
  <si>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</si>
  <si>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</si>
  <si>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</si>
  <si>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</si>
  <si>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</si>
  <si>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</si>
  <si>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</si>
  <si>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</si>
  <si>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</si>
  <si>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</si>
  <si>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</si>
  <si>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</si>
  <si>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</si>
  <si>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</si>
  <si>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</si>
  <si>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</si>
  <si>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</si>
  <si>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</si>
  <si>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</si>
  <si>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</si>
  <si>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</si>
  <si>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</si>
  <si>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</si>
  <si>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</si>
  <si>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</si>
  <si>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</si>
  <si>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</si>
  <si>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</si>
  <si>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</si>
  <si>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</si>
  <si>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</si>
  <si>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</si>
  <si>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</si>
  <si>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</si>
  <si>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</si>
  <si>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</si>
  <si>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</si>
  <si>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</si>
  <si>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</si>
  <si>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</si>
  <si>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</si>
  <si>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</si>
  <si>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</si>
  <si>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</si>
  <si>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</si>
  <si>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</si>
  <si>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</si>
  <si>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</si>
  <si>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</si>
  <si>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</si>
  <si>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</si>
  <si>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</si>
  <si>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</si>
  <si>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</si>
  <si>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</si>
  <si>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</si>
  <si>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</si>
  <si>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</si>
  <si>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</si>
  <si>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</si>
  <si>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</si>
  <si>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</si>
  <si>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</si>
  <si>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</si>
  <si>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</si>
  <si>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</si>
  <si>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</si>
  <si>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</si>
  <si>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</si>
  <si>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</si>
  <si>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</si>
  <si>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</si>
  <si>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</si>
  <si>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</si>
  <si>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</si>
  <si>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</si>
  <si>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</si>
  <si>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</si>
  <si>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</si>
  <si>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</si>
  <si>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</si>
  <si>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</si>
  <si>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</si>
  <si>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</si>
  <si>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</si>
  <si>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</si>
  <si>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</si>
  <si>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</si>
  <si>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</si>
  <si>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</si>
  <si>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</si>
  <si>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</si>
  <si>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</si>
  <si>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</si>
  <si>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</si>
  <si>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</si>
  <si>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</si>
  <si>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</si>
  <si>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</si>
  <si>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</si>
  <si>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</si>
  <si>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</si>
  <si>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</si>
  <si>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</si>
  <si>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</si>
  <si>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</si>
  <si>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</si>
  <si>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</si>
  <si>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</si>
  <si>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</si>
  <si>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</si>
  <si>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</si>
  <si>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</si>
  <si>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</si>
  <si>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</si>
  <si>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</si>
  <si>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</si>
  <si>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</si>
  <si>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</si>
  <si>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</si>
  <si>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</si>
  <si>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</si>
  <si>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</si>
  <si>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</si>
  <si>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</si>
  <si>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</si>
  <si>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</si>
  <si>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</si>
  <si>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</si>
  <si>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</si>
  <si>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</si>
  <si>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</si>
  <si>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</si>
  <si>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</si>
  <si>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</si>
  <si>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</si>
  <si>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</si>
  <si>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</si>
  <si>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</si>
  <si>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</si>
  <si>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</si>
  <si>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</si>
  <si>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</si>
  <si>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</si>
  <si>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</si>
  <si>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</si>
  <si>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</si>
  <si>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</si>
  <si>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</si>
  <si>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</si>
  <si>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</si>
  <si>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</si>
  <si>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</si>
  <si>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</si>
  <si>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</si>
  <si>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</si>
  <si>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</si>
  <si>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</si>
  <si>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</si>
  <si>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</si>
  <si>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</si>
  <si>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</si>
  <si>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</si>
  <si>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</si>
  <si>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</si>
  <si>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</si>
  <si>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</si>
  <si>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</si>
  <si>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</si>
  <si>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</si>
  <si>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</si>
  <si>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</si>
  <si>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</si>
  <si>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</si>
  <si>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</si>
  <si>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</si>
  <si>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</si>
  <si>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</si>
  <si>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</si>
  <si>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</si>
  <si>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</si>
  <si>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</si>
  <si>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</si>
  <si>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</si>
  <si>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</si>
  <si>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</si>
  <si>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</si>
  <si>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</si>
  <si>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</si>
  <si>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</si>
  <si>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</si>
  <si>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</si>
  <si>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</si>
  <si>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</si>
  <si>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</si>
  <si>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</si>
  <si>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</si>
  <si>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</si>
  <si>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</si>
  <si>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</si>
  <si>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</si>
  <si>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</si>
  <si>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</si>
  <si>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</si>
  <si>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</si>
  <si>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</si>
  <si>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</si>
  <si>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</si>
  <si>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</si>
  <si>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</si>
  <si>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</si>
  <si>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</si>
  <si>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</si>
  <si>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</si>
  <si>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</si>
  <si>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</si>
  <si>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</si>
  <si>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</si>
  <si>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</si>
  <si>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</si>
  <si>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</si>
  <si>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</si>
  <si>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</si>
  <si>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</si>
  <si>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</si>
  <si>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</si>
  <si>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</si>
  <si>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</si>
  <si>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</si>
  <si>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</si>
  <si>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</si>
  <si>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</si>
  <si>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</si>
  <si>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</si>
  <si>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</si>
  <si>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</si>
  <si>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</si>
  <si>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</si>
  <si>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</si>
  <si>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</si>
  <si>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</si>
  <si>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</si>
  <si>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</si>
  <si>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</si>
  <si>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</si>
  <si>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</si>
  <si>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</si>
  <si>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</si>
  <si>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</si>
  <si>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</si>
  <si>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</si>
  <si>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</si>
  <si>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</si>
  <si>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</si>
  <si>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</si>
  <si>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</si>
  <si>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</si>
  <si>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</si>
  <si>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</si>
  <si>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</si>
  <si>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</si>
  <si>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</si>
  <si>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</si>
  <si>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</si>
  <si>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</si>
  <si>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</si>
  <si>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</si>
  <si>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</si>
  <si>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</si>
  <si>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</si>
  <si>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</si>
  <si>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</si>
  <si>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</si>
  <si>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</si>
  <si>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</si>
  <si>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</si>
  <si>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</si>
  <si>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</si>
  <si>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</si>
  <si>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</si>
  <si>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</si>
  <si>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</si>
  <si>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</si>
  <si>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</si>
  <si>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</si>
  <si>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</si>
  <si>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</si>
  <si>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</si>
  <si>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</si>
  <si>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</si>
  <si>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</si>
  <si>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</si>
  <si>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</si>
  <si>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</si>
  <si>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</si>
  <si>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</si>
  <si>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</si>
  <si>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</si>
  <si>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</si>
  <si>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</si>
  <si>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</si>
  <si>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</si>
  <si>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</si>
  <si>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</si>
  <si>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</si>
  <si>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</si>
  <si>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</si>
  <si>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</si>
  <si>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</si>
  <si>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</si>
  <si>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</si>
  <si>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</si>
  <si>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</si>
  <si>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</si>
  <si>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</si>
  <si>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</si>
  <si>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</si>
  <si>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</si>
  <si>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</si>
  <si>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</si>
  <si>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 (Podemos anexar no W50 em TOM para seguir a TGR)</t>
  </si>
  <si>
    <t>MC1 as 07:57h/ previsão de faixa para deslocamento até local de trabalho as 11:10h</t>
  </si>
  <si>
    <t>Em intervalo as 12:19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</si>
  <si>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</si>
  <si>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</si>
  <si>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</si>
  <si>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</si>
  <si>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</si>
  <si>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por TOM</t>
  </si>
  <si>
    <t xml:space="preserve">Marcos </t>
  </si>
  <si>
    <t>Solda - Condicionado à temperatura (retirada de restrição 40km/h)</t>
  </si>
  <si>
    <t>k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</si>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</sst>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G363" activePane="bottomRight" state="frozen"/>
      <selection pane="bottomRight" activeCell="O364" sqref="O36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/>
      <c r="AT353" s="240"/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</v>
      </c>
      <c r="B354" s="171"/>
      <c r="C354" s="8" t="str">
        <f>IF(BS_CONTROLE[[#This Row],[DATA]]="","",WEEKNUM(BS_CONTROLE[[#This Row],[DATA]]))</f>
        <v/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570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TOM2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0.5131944444444444</v>
      </c>
      <c r="AT355" s="240"/>
      <c r="AU355" s="240"/>
      <c r="AV355" s="240"/>
      <c r="AW355" s="240"/>
      <c r="AX355" s="38"/>
      <c r="AY355" s="309" t="str">
        <f>IF(D355="","*",IFERROR(IF(ISODD(COUNT(AS355:AX355)),"ERRO",SUM((AT355-AS355),(AV355-AU355),(AX355-AW355))),"ERRO"))</f>
        <v>ERRO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1904</v>
      </c>
      <c r="BK355" s="16" t="s">
        <v>1905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1906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1907</v>
      </c>
      <c r="X356" s="216" t="s">
        <v>965</v>
      </c>
      <c r="Y356" s="158"/>
      <c r="Z356" s="158"/>
      <c r="AA356" s="83" t="s">
        <v>1908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1909</v>
      </c>
      <c r="BK356" s="16" t="s">
        <v>1910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1911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1912</v>
      </c>
      <c r="W357" s="343" t="s">
        <v>1913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1914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1915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1916</v>
      </c>
      <c r="BK358" s="16" t="s">
        <v>1917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tr">
        <f>D359&amp;B359</f>
        <v>A6046020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1918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1919</v>
      </c>
      <c r="N359" s="202" t="s">
        <v>1920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1921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tr">
        <f>D360&amp;B360</f>
        <v>V4246020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/>
      <c r="AS360" s="240"/>
      <c r="AT360" s="240"/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1</v>
      </c>
      <c r="BI360" s="16"/>
      <c r="BJ360" s="16" t="s">
        <v>1922</v>
      </c>
      <c r="BK360" s="16" t="s">
        <v>1922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/>
      <c r="B361" s="171"/>
      <c r="C361" s="8"/>
      <c r="D361" s="51"/>
      <c r="E361" s="311"/>
      <c r="F361" s="172"/>
      <c r="G361" s="9"/>
      <c r="H361" s="173"/>
      <c r="I361" s="173"/>
      <c r="J361" s="215"/>
      <c r="K361" s="215"/>
      <c r="L361" s="83"/>
      <c r="M361" s="202"/>
      <c r="N361" s="202"/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3">IF(BN361="","",SUBSTITUTE(BM361," ","")&amp;SUBSTITUTE(BN361," ",""))</f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342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3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343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3"/>
        <v/>
      </c>
    </row>
    <row r="364" spans="1:72">
      <c r="A364" s="50" t="str">
        <f>D364&amp;B364</f>
        <v>W5046021</v>
      </c>
      <c r="B364" s="171">
        <v>46021</v>
      </c>
      <c r="C364" s="8">
        <f>IF(BS_CONTROLE[[#This Row],[DATA]]="","",WEEKNUM(BS_CONTROLE[[#This Row],[DATA]]))</f>
        <v>53</v>
      </c>
      <c r="D364" s="51" t="s">
        <v>836</v>
      </c>
      <c r="E364" s="310">
        <v>344</v>
      </c>
      <c r="F364" s="172" t="s">
        <v>772</v>
      </c>
      <c r="G364" s="9" t="str">
        <f>IF(D364="","*",VLOOKUP(F364,BS_ATIVIDADE[#All],3,FALSE))</f>
        <v>DORMENTE - DESCARGA</v>
      </c>
      <c r="H364" s="173" t="s">
        <v>570</v>
      </c>
      <c r="I364" s="358" t="s">
        <v>570</v>
      </c>
      <c r="J364" s="215">
        <v>74</v>
      </c>
      <c r="K364" s="215">
        <v>450.8</v>
      </c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364" s="173">
        <v>0.41666666666666669</v>
      </c>
      <c r="P364" s="173">
        <v>8.3333333333333329E-2</v>
      </c>
      <c r="Q364" s="83">
        <v>1000</v>
      </c>
      <c r="R364" s="10" t="str">
        <f>IFERROR(_xlfn.XLOOKUP(F364, BS_ATIVIDADE[ATIVIDADE],BS_ATIVIDADE[UNIDADE] ), "*")</f>
        <v>Nº DE DORMENTES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PDM - DESCARGA - DORMENTE</v>
      </c>
      <c r="AJ364" s="9" t="str">
        <f>IF(D364="","*",VLOOKUP(AI364,BS_ATIVIDADE[#Data],3,FALSE))</f>
        <v>DORMENTE - DESCARGA</v>
      </c>
      <c r="AK364" s="276" t="str">
        <f>IF(BS_CONTROLE[[#This Row],[Local - Partida]]=0, "-", BS_CONTROLE[[#This Row],[Local - Partida]])</f>
        <v>TOM2</v>
      </c>
      <c r="AL364" s="276" t="str">
        <f>IF(BS_CONTROLE[[#This Row],[Local - Encerramento]]=0, "-", BS_CONTROLE[[#This Row],[Local - Encerramento]])</f>
        <v>TOM2</v>
      </c>
      <c r="AM364" s="276" t="str">
        <f>IF(BS_CONTROLE[[#This Row],[Entre - Estações]]=0, "-", BS_CONTROLE[[#This Row],[Entre - Estações]])</f>
        <v>TVL</v>
      </c>
      <c r="AN364" s="276" t="str">
        <f>IF(BS_CONTROLE[[#This Row],[SB]]=0, "-", BS_CONTROLE[[#This Row],[SB]])</f>
        <v>TVL1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450.8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Nº DE DORMENTES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3"/>
        <v/>
      </c>
    </row>
    <row r="365" spans="1:72">
      <c r="A365" s="50" t="str">
        <f>D365&amp;B365</f>
        <v>A8046021</v>
      </c>
      <c r="B365" s="171">
        <v>46021</v>
      </c>
      <c r="C365" s="8">
        <f>IF(BS_CONTROLE[[#This Row],[DATA]]="","",WEEKNUM(BS_CONTROLE[[#This Row],[DATA]]))</f>
        <v>53</v>
      </c>
      <c r="D365" s="51" t="s">
        <v>734</v>
      </c>
      <c r="E365" s="310">
        <v>345</v>
      </c>
      <c r="F365" s="172" t="s">
        <v>630</v>
      </c>
      <c r="G365" s="9" t="str">
        <f>IF(D365="","*",VLOOKUP(F365,BS_ATIVIDADE[#All],3,FALSE))</f>
        <v>DETECÇÃO</v>
      </c>
      <c r="H365" s="173" t="s">
        <v>47</v>
      </c>
      <c r="I365" s="173" t="s">
        <v>78</v>
      </c>
      <c r="J365" s="215">
        <v>98</v>
      </c>
      <c r="K365" s="215">
        <v>616</v>
      </c>
      <c r="L365" s="83">
        <v>754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5" s="173">
        <v>0.33333333333333331</v>
      </c>
      <c r="P365" s="173">
        <v>4.1666666666666664E-2</v>
      </c>
      <c r="Q365" s="83">
        <v>130</v>
      </c>
      <c r="R365" s="10" t="str">
        <f>IFERROR(_xlfn.XLOOKUP(F365, BS_ATIVIDADE[ATIVIDADE],BS_ATIVIDADE[UNIDADE] ), "*")</f>
        <v>KM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5" s="80" t="str">
        <f>IFERROR(_xlfn.XLOOKUP(J365, BASE_MAPA!$D$2:$D$359, BASE_MAPA!$I$2:$I$359), "ERRO")</f>
        <v>ALTO ARAGUAIA - RONDONOPOLIS</v>
      </c>
      <c r="V365" s="196" t="s">
        <v>1573</v>
      </c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DETECÇÃO - RONDA 7 DIAS</v>
      </c>
      <c r="AJ365" s="9" t="str">
        <f>IF(D365="","*",VLOOKUP(AI365,BS_ATIVIDADE[#Data],3,FALSE))</f>
        <v>DETECÇÃO</v>
      </c>
      <c r="AK365" s="276" t="str">
        <f>IF(BS_CONTROLE[[#This Row],[Local - Partida]]=0, "-", BS_CONTROLE[[#This Row],[Local - Partida]])</f>
        <v>TIQ</v>
      </c>
      <c r="AL365" s="276" t="str">
        <f>IF(BS_CONTROLE[[#This Row],[Local - Encerramento]]=0, "-", BS_CONTROLE[[#This Row],[Local - Encerramento]])</f>
        <v>TRO</v>
      </c>
      <c r="AM365" s="276" t="str">
        <f>IF(BS_CONTROLE[[#This Row],[Entre - Estações]]=0, "-", BS_CONTROLE[[#This Row],[Entre - Estações]])</f>
        <v>TIQ</v>
      </c>
      <c r="AN365" s="276" t="str">
        <f>IF(BS_CONTROLE[[#This Row],[SB]]=0, "-", BS_CONTROLE[[#This Row],[SB]])</f>
        <v>TIQ1</v>
      </c>
      <c r="AO365" s="277">
        <f>IF(BS_CONTROLE[[#This Row],[SUB]]=0, "-", BS_CONTROLE[[#This Row],[SUB]])</f>
        <v>98</v>
      </c>
      <c r="AP365" s="278">
        <f>IF(BS_CONTROLE[[#This Row],[KM - Inicio]]=0, "-", BS_CONTROLE[[#This Row],[KM - Inicio]])</f>
        <v>616</v>
      </c>
      <c r="AQ365" s="278">
        <f>IF(BS_CONTROLE[[#This Row],[KM - Fim]]=0, "-", BS_CONTROLE[[#This Row],[KM - Fim]])</f>
        <v>754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KM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5" s="11" t="str">
        <f>IFERROR(_xlfn.XLOOKUP(AO365, BASE_MAPA!$D$2:$D$359, BASE_MAPA!$I$2:$I$359), "ERRO")</f>
        <v>ALTO ARAGUAIA - RONDONOPOLIS</v>
      </c>
      <c r="BF365" s="279" t="str">
        <f>IF(BS_CONTROLE[[#This Row],[Responsavel pelo boletim]]=0, "-", BS_CONTROLE[[#This Row],[Responsavel pelo boletim]])</f>
        <v>Heldo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3"/>
        <v/>
      </c>
    </row>
    <row r="366" spans="1:72">
      <c r="A366" s="50" t="str">
        <f>D366&amp;B366</f>
        <v>A6046021</v>
      </c>
      <c r="B366" s="171">
        <v>46021</v>
      </c>
      <c r="C366" s="8">
        <f>IF(BS_CONTROLE[[#This Row],[DATA]]="","",WEEKNUM(BS_CONTROLE[[#This Row],[DATA]]))</f>
        <v>53</v>
      </c>
      <c r="D366" s="51" t="s">
        <v>707</v>
      </c>
      <c r="E366" s="310">
        <v>346</v>
      </c>
      <c r="F366" s="172" t="s">
        <v>630</v>
      </c>
      <c r="G366" s="9" t="str">
        <f>IF(D366="","*",VLOOKUP(F366,BS_ATIVIDADE[#All],3,FALSE))</f>
        <v>DETECÇÃO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366" s="173">
        <v>0.33333333333333331</v>
      </c>
      <c r="P366" s="173">
        <v>4.1666666666666664E-2</v>
      </c>
      <c r="Q366" s="83">
        <v>200</v>
      </c>
      <c r="R366" s="10" t="str">
        <f>IFERROR(_xlfn.XLOOKUP(F366, BS_ATIVIDADE[ATIVIDADE],BS_ATIVIDADE[UNIDADE] ), "*")</f>
        <v>KM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TRC</v>
      </c>
      <c r="AN366" s="276" t="str">
        <f>IF(BS_CONTROLE[[#This Row],[SB]]=0, "-", BS_CONTROLE[[#This Row],[SB]])</f>
        <v>291TRC1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3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347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3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348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3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3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3"/>
        <v/>
      </c>
    </row>
    <row r="371" spans="1:72">
      <c r="A371" s="50" t="str">
        <f>D371&amp;B371</f>
        <v>E4646022</v>
      </c>
      <c r="B371" s="171">
        <v>46022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71" s="173"/>
      <c r="P371" s="173"/>
      <c r="Q371" s="83"/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</v>
      </c>
      <c r="AN371" s="276" t="str">
        <f>IF(BS_CONTROLE[[#This Row],[SB]]=0, "-", BS_CONTROLE[[#This Row],[SB]])</f>
        <v>ZTP11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e">
        <f>IF(AND(BR371&lt;1,BS371&lt;1),"Produção e Intervalo",IF(BR371&lt;1,"Intervalo",IF(BS371&lt;1,"Produção","Aderente")))</f>
        <v>#DIV/0!</v>
      </c>
      <c r="BR371" s="18" t="e">
        <f>IF(OR(B371="",F371=""),"*",AY371/P371)</f>
        <v>#DIV/0!</v>
      </c>
      <c r="BS371" s="18" t="e">
        <f>IF(OR(B371="",F371=""),"*",BA371/Q371)</f>
        <v>#DIV/0!</v>
      </c>
      <c r="BT371" s="223" t="str">
        <f t="shared" si="13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352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3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3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3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355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3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356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3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357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3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358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3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3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3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3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3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3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3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3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3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3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3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3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3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3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3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3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3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3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3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3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3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3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3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3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3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3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3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3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3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3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3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3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3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3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3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4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4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4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4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4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4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4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4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4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4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4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4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4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4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4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4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4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4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4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5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5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5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5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5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5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5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5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5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5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5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5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5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5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5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5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5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5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5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5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5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5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5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5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5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5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5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5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5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5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5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5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5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5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5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5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5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5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5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5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5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7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7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7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7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7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7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7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7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7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7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7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7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7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7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7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7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7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7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7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7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7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7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7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7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7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7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7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7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7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7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7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7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7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7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7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7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7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7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7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7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7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7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7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7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7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7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1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1 Z283:AB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1923</v>
      </c>
      <c r="D5" s="388"/>
      <c r="E5" s="388"/>
      <c r="F5" s="388"/>
      <c r="G5" s="388"/>
      <c r="H5" s="388"/>
      <c r="I5" s="388"/>
      <c r="J5" s="389"/>
      <c r="K5" s="390" t="s">
        <v>1924</v>
      </c>
      <c r="L5" s="391"/>
      <c r="M5" s="391"/>
      <c r="N5" s="391"/>
      <c r="O5" s="392" t="s">
        <v>1925</v>
      </c>
      <c r="P5" s="393"/>
      <c r="Q5" s="394"/>
    </row>
    <row r="6" spans="1:17" s="93" customFormat="1" ht="15.75" customHeight="1">
      <c r="A6" s="87" t="s">
        <v>1926</v>
      </c>
      <c r="B6" s="94" t="s">
        <v>1927</v>
      </c>
      <c r="C6" s="95" t="s">
        <v>1172</v>
      </c>
      <c r="D6" s="96" t="s">
        <v>1173</v>
      </c>
      <c r="E6" s="95" t="s">
        <v>1928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1929</v>
      </c>
      <c r="M6" s="139" t="s">
        <v>627</v>
      </c>
      <c r="N6" s="140" t="s">
        <v>1167</v>
      </c>
      <c r="O6" s="244" t="s">
        <v>1210</v>
      </c>
      <c r="P6" s="157"/>
      <c r="Q6" s="192" t="s">
        <v>1930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 t="str">
        <f>IF(FN_MC!B354="","*",FN_MC!B354)</f>
        <v>*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>*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TOM2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TOM2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*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 t="str">
        <f>IF(FN_MC!B362="","*",FN_MC!B362)</f>
        <v>*</v>
      </c>
      <c r="B362" s="98" t="str">
        <f>IF(FN_MC!X362="","*",FN_MC!X362)</f>
        <v>*</v>
      </c>
      <c r="C362" s="99" t="str">
        <f>IF(FN_MC!S362="","*",FN_MC!S362)</f>
        <v>-</v>
      </c>
      <c r="D362" s="99" t="str">
        <f>IF(FN_MC!T362="","*",FN_MC!T362)</f>
        <v>-</v>
      </c>
      <c r="E362" s="99" t="str">
        <f>IF(FN_MC!D362="","*",FN_MC!D362)</f>
        <v>*</v>
      </c>
      <c r="F362" s="99" t="str">
        <f>IF(FN_MC!H362="","*",FN_MC!H362)</f>
        <v>*</v>
      </c>
      <c r="G362" s="99" t="str">
        <f>IF(FN_MC!M362="","*",FN_MC!M362)</f>
        <v>-</v>
      </c>
      <c r="H362" s="154" t="str">
        <f>IF(FN_MC!K362="","*",FN_MC!K362)</f>
        <v>*</v>
      </c>
      <c r="I362" s="132" t="str">
        <f>IF(FN_MC!O362="","*",FN_MC!O362)</f>
        <v>*</v>
      </c>
      <c r="J362" s="132" t="str">
        <f>IF(FN_MC!P362="","*",FN_MC!P362)</f>
        <v>*</v>
      </c>
      <c r="K362" s="141" t="str">
        <f>IF(FN_MC!AK362="","*",FN_MC!AK362)</f>
        <v>-</v>
      </c>
      <c r="L362" s="141" t="str">
        <f>IF(FN_MC!AM362="","*",FN_MC!AM362)</f>
        <v>-</v>
      </c>
      <c r="M362" s="141" t="str">
        <f>IF(FN_MC!AP362="","*",FN_MC!AP362)</f>
        <v>-</v>
      </c>
      <c r="N362" s="141" t="str">
        <f>IF(FN_MC!AM362="","*",FN_MC!AM362)</f>
        <v>-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1930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1931</v>
      </c>
      <c r="W1" s="400"/>
      <c r="X1" s="400"/>
      <c r="Y1" s="104"/>
    </row>
    <row r="2" spans="1:25" s="100" customFormat="1" ht="11.25" customHeight="1">
      <c r="A2" s="105" t="s">
        <v>1932</v>
      </c>
      <c r="B2" s="105" t="s">
        <v>1927</v>
      </c>
      <c r="C2" s="105" t="s">
        <v>603</v>
      </c>
      <c r="D2" s="106" t="s">
        <v>1172</v>
      </c>
      <c r="E2" s="106" t="s">
        <v>1173</v>
      </c>
      <c r="F2" s="106" t="s">
        <v>1926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1933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 t="str">
        <f>IF(FN_MC!B354="","*",FN_MC!B354)</f>
        <v>*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 (Podemos anexar no W50 em TOM para seguir a TGR)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TOM2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*</v>
      </c>
      <c r="L359" s="110" t="str">
        <f>IF(FN_MC!N361="","*",FN_MC!N361)</f>
        <v>*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W50</v>
      </c>
      <c r="H362" s="110" t="str">
        <f>IF(FN_MC!F364="","*",FN_MC!F364)</f>
        <v>PDM - DESCARGA - DORMENTE</v>
      </c>
      <c r="I362" s="110" t="str">
        <f>IF(FN_MC!H364="","*",FN_MC!H364)</f>
        <v>TOM2</v>
      </c>
      <c r="J362" s="110" t="str">
        <f>IF(FN_MC!I364="","*",FN_MC!I364)</f>
        <v>TOM2</v>
      </c>
      <c r="K362" s="110" t="str">
        <f>IF(FN_MC!M364="","*",FN_MC!M364)</f>
        <v>TVL</v>
      </c>
      <c r="L362" s="110" t="str">
        <f>IF(FN_MC!N364="","*",FN_MC!N364)</f>
        <v>TVL1</v>
      </c>
      <c r="M362" s="111">
        <f>IF(FN_MC!J364="","*",FN_MC!J364)</f>
        <v>74</v>
      </c>
      <c r="N362" s="288">
        <f>IF(FN_MC!K364="","*",FN_MC!K364)</f>
        <v>450.8</v>
      </c>
      <c r="O362" s="288" t="str">
        <f>IF(FN_MC!L364="","*",FN_MC!L364)</f>
        <v>-</v>
      </c>
      <c r="P362" s="111"/>
      <c r="Q362" s="128">
        <f>IF(FN_MC!O364="","*",FN_MC!O364)</f>
        <v>0.41666666666666669</v>
      </c>
      <c r="R362" s="128">
        <f>IF(FN_MC!P364="","*",FN_MC!P364)</f>
        <v>8.3333333333333329E-2</v>
      </c>
      <c r="S362" s="110" t="str">
        <f>IF(FN_MC!Q364="","*",CONCATENATE(FN_MC!Q364," ",FN_MC!R364))</f>
        <v>1000 Nº DE DORMENTES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TGR-TRO</v>
      </c>
      <c r="F363" s="110">
        <f>IF(FN_MC!B365="","*",FN_MC!B365)</f>
        <v>46021</v>
      </c>
      <c r="G363" s="110" t="str">
        <f>IF(FN_MC!D365="","*",FN_MC!D365)</f>
        <v>A80</v>
      </c>
      <c r="H363" s="110" t="str">
        <f>IF(FN_MC!F365="","*",FN_MC!F365)</f>
        <v>DETECÇÃO - RONDA 7 DIAS</v>
      </c>
      <c r="I363" s="110" t="str">
        <f>IF(FN_MC!H365="","*",FN_MC!H365)</f>
        <v>TIQ</v>
      </c>
      <c r="J363" s="110" t="str">
        <f>IF(FN_MC!I365="","*",FN_MC!I365)</f>
        <v>TRO</v>
      </c>
      <c r="K363" s="110" t="str">
        <f>IF(FN_MC!M365="","*",FN_MC!M365)</f>
        <v>TIQ</v>
      </c>
      <c r="L363" s="110" t="str">
        <f>IF(FN_MC!N365="","*",FN_MC!N365)</f>
        <v>TIQ1</v>
      </c>
      <c r="M363" s="111">
        <f>IF(FN_MC!J365="","*",FN_MC!J365)</f>
        <v>98</v>
      </c>
      <c r="N363" s="288">
        <f>IF(FN_MC!K365="","*",FN_MC!K365)</f>
        <v>616</v>
      </c>
      <c r="O363" s="288">
        <f>IF(FN_MC!L365="","*",FN_MC!L365)</f>
        <v>754</v>
      </c>
      <c r="P363" s="111"/>
      <c r="Q363" s="128">
        <f>IF(FN_MC!O365="","*",FN_MC!O365)</f>
        <v>0.33333333333333331</v>
      </c>
      <c r="R363" s="128">
        <f>IF(FN_MC!P365="","*",FN_MC!P365)</f>
        <v>4.1666666666666664E-2</v>
      </c>
      <c r="S363" s="110" t="str">
        <f>IF(FN_MC!Q365="","*",CONCATENATE(FN_MC!Q365," ",FN_MC!R365))</f>
        <v>130 KM</v>
      </c>
      <c r="T363" s="110" t="str">
        <f>IF(FN_MC!V365="","*",FN_MC!V365)</f>
        <v>Heldo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180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TRC</v>
      </c>
      <c r="L364" s="110" t="str">
        <f>IF(FN_MC!N366="","*",FN_MC!N366)</f>
        <v>291TRC1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46022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</v>
      </c>
      <c r="L369" s="110" t="str">
        <f>IF(FN_MC!N371="","*",FN_MC!N371)</f>
        <v>ZTP11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1934</v>
      </c>
    </row>
  </sheetData>
  <autoFilter ref="A2:Y3002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1935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1936</v>
      </c>
      <c r="C4" s="318" t="s">
        <v>1937</v>
      </c>
      <c r="D4" s="318" t="s">
        <v>1938</v>
      </c>
      <c r="E4" s="318" t="s">
        <v>1939</v>
      </c>
      <c r="F4" s="318" t="s">
        <v>6</v>
      </c>
      <c r="G4" s="318" t="s">
        <v>1940</v>
      </c>
      <c r="H4" s="191"/>
    </row>
    <row r="5" spans="1:8">
      <c r="A5" s="191"/>
      <c r="B5" s="319" t="s">
        <v>1941</v>
      </c>
      <c r="C5" s="319">
        <v>309525</v>
      </c>
      <c r="D5" s="319" t="s">
        <v>1942</v>
      </c>
      <c r="E5" s="319" t="s">
        <v>845</v>
      </c>
      <c r="F5" s="319" t="s">
        <v>1943</v>
      </c>
      <c r="G5" s="320">
        <v>46296</v>
      </c>
      <c r="H5" s="191"/>
    </row>
    <row r="6" spans="1:8">
      <c r="A6" s="191"/>
      <c r="B6" s="319" t="s">
        <v>1944</v>
      </c>
      <c r="C6" s="319">
        <v>256875</v>
      </c>
      <c r="D6" s="319" t="s">
        <v>1945</v>
      </c>
      <c r="E6" s="319" t="s">
        <v>845</v>
      </c>
      <c r="F6" s="319" t="s">
        <v>1943</v>
      </c>
      <c r="G6" s="320">
        <v>46296</v>
      </c>
      <c r="H6" s="191"/>
    </row>
    <row r="7" spans="1:8">
      <c r="A7" s="191"/>
      <c r="B7" s="319" t="s">
        <v>1946</v>
      </c>
      <c r="C7" s="319">
        <v>257278</v>
      </c>
      <c r="D7" s="319" t="s">
        <v>1947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1948</v>
      </c>
      <c r="C8" s="319">
        <v>261794</v>
      </c>
      <c r="D8" s="319" t="s">
        <v>1949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1950</v>
      </c>
      <c r="C9" s="319">
        <v>257033</v>
      </c>
      <c r="D9" s="319" t="s">
        <v>1951</v>
      </c>
      <c r="E9" s="319" t="s">
        <v>836</v>
      </c>
      <c r="F9" s="319" t="s">
        <v>192</v>
      </c>
      <c r="G9" s="319" t="s">
        <v>1952</v>
      </c>
      <c r="H9" s="191"/>
    </row>
    <row r="10" spans="1:8">
      <c r="A10" s="191"/>
      <c r="B10" s="319" t="s">
        <v>1953</v>
      </c>
      <c r="C10" s="319">
        <v>396578</v>
      </c>
      <c r="D10" s="319" t="s">
        <v>1954</v>
      </c>
      <c r="E10" s="319" t="s">
        <v>836</v>
      </c>
      <c r="F10" s="319" t="s">
        <v>192</v>
      </c>
      <c r="G10" s="319" t="s">
        <v>1952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1955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1956</v>
      </c>
      <c r="E3" s="315" t="s">
        <v>1957</v>
      </c>
      <c r="F3" s="315" t="s">
        <v>1958</v>
      </c>
      <c r="G3" s="315" t="s">
        <v>1959</v>
      </c>
      <c r="H3" s="315" t="s">
        <v>1960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1961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1962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1158</v>
      </c>
      <c r="D2" s="95" t="s">
        <v>596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TOM2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*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>
        <f>IF(FN_MC!B364="","*",FN_MC!B364)</f>
        <v>46021</v>
      </c>
      <c r="D362" s="121" t="str">
        <f>IF(FN_MC!D364="","*",FN_MC!D364)</f>
        <v>W50</v>
      </c>
      <c r="E362" s="121" t="str">
        <f>IF(FN_MC!H364="","*",FN_MC!H364)</f>
        <v>TOM2</v>
      </c>
      <c r="F362" s="137" t="str">
        <f>IF(FN_MC!M364="","*",FN_MC!M364)</f>
        <v>TVL</v>
      </c>
      <c r="G362" s="121" t="str">
        <f>IF(FN_MC!I364="","*",FN_MC!I364)</f>
        <v>TOM2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A80</v>
      </c>
      <c r="E363" s="121" t="str">
        <f>IF(FN_MC!H365="","*",FN_MC!H365)</f>
        <v>TIQ</v>
      </c>
      <c r="F363" s="137" t="str">
        <f>IF(FN_MC!M365="","*",FN_MC!M365)</f>
        <v>TIQ</v>
      </c>
      <c r="G363" s="121" t="str">
        <f>IF(FN_MC!I365="","*",FN_MC!I365)</f>
        <v>TRO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A60</v>
      </c>
      <c r="E364" s="121" t="str">
        <f>IF(FN_MC!H366="","*",FN_MC!H366)</f>
        <v>TCS291</v>
      </c>
      <c r="F364" s="137" t="str">
        <f>IF(FN_MC!M366="","*",FN_MC!M366)</f>
        <v>TRC</v>
      </c>
      <c r="G364" s="121" t="str">
        <f>IF(FN_MC!I366="","*",FN_MC!I366)</f>
        <v>TGR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46022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</v>
      </c>
      <c r="G369" s="121" t="str">
        <f>IF(FN_MC!I371="","*",FN_MC!I371)</f>
        <v>TCS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2025-12-29T16:19:01Z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