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48" documentId="8_{B6337239-1A00-434D-AAD0-422EA1FEB5AE}" xr6:coauthVersionLast="47" xr6:coauthVersionMax="47" xr10:uidLastSave="{AE3DCCF0-1AEB-4D26-9358-3F9BBF2B5E8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L169" i="16"/>
  <c r="R156" i="1"/>
  <c r="S156" i="1" a="1"/>
  <c r="S156" i="1" s="1"/>
  <c r="D169" i="16" s="1"/>
  <c r="T156" i="1" a="1"/>
  <c r="T156" i="1" s="1"/>
  <c r="E169" i="16" s="1"/>
  <c r="AI156" i="1"/>
  <c r="BB156" i="1" s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4" i="1" l="1"/>
  <c r="AJ161" i="1"/>
  <c r="AJ156" i="1"/>
  <c r="AJ155" i="1"/>
  <c r="AJ154" i="1"/>
  <c r="BB78" i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<sst xmlns="http://schemas.openxmlformats.org/spreadsheetml/2006/main" count="5699" uniqueCount="1567">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</sst>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D782" sqref="D7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44" t="str">
        <f t="shared" si="14"/>
        <v>W7046092</v>
      </c>
      <c r="B155" s="133">
        <v>46092</v>
      </c>
      <c r="C155" s="7">
        <f>IF(BS_CONTROLE[[#This Row],[DATA]]="","",WEEKNUM(BS_CONTROLE[[#This Row],[DATA]]))</f>
        <v>11</v>
      </c>
      <c r="D155" s="45" t="s">
        <v>249</v>
      </c>
      <c r="E155" s="185">
        <v>172</v>
      </c>
      <c r="F155" s="134" t="s">
        <v>186</v>
      </c>
      <c r="G155" s="8" t="str">
        <f>IF(D155="","*",VLOOKUP(F155,BS_ATIVIDADE[#All],3,FALSE))</f>
        <v>PEDRA</v>
      </c>
      <c r="H155" s="135" t="s">
        <v>708</v>
      </c>
      <c r="I155" s="135" t="s">
        <v>708</v>
      </c>
      <c r="J155" s="151">
        <v>74</v>
      </c>
      <c r="K155" s="151">
        <v>441</v>
      </c>
      <c r="L155" s="71">
        <v>446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5" s="135">
        <v>0.41666666666666669</v>
      </c>
      <c r="P155" s="135">
        <v>8.3333333333333329E-2</v>
      </c>
      <c r="Q155" s="71">
        <v>17</v>
      </c>
      <c r="R155" s="9" t="str">
        <f>IFERROR(_xlfn.XLOOKUP(F155, BS_ATIVIDADE[ATIVIDADE],BS_ATIVIDADE[UNIDADE] ), "*")</f>
        <v>VAGÕES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BASE_MAPA!$B$2:$B$408, BASE_MAPA!$G$2:$G$408), "ERRO")</f>
        <v>MARCO INICIAL - ALTO ARAGUAIA</v>
      </c>
      <c r="V155" s="143" t="s">
        <v>1249</v>
      </c>
      <c r="W155" s="135" t="s">
        <v>1492</v>
      </c>
      <c r="X155" s="152" t="s">
        <v>379</v>
      </c>
      <c r="Y155" s="129"/>
      <c r="Z155" s="129"/>
      <c r="AA155" s="71" t="s">
        <v>1378</v>
      </c>
      <c r="AB155" s="59" t="s">
        <v>371</v>
      </c>
      <c r="AC155" s="59" t="s">
        <v>366</v>
      </c>
      <c r="AD155" s="135">
        <v>0.29166666666666669</v>
      </c>
      <c r="AE155" s="71">
        <v>9292</v>
      </c>
      <c r="AF155" s="71">
        <v>9425</v>
      </c>
      <c r="AG155" s="71">
        <v>7632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5" t="str">
        <f>IF(BS_CONTROLE[[#This Row],[Local - Partida]]=0, "-", BS_CONTROLE[[#This Row],[Local - Partida]])</f>
        <v>TGR</v>
      </c>
      <c r="AL155" s="175" t="str">
        <f>IF(BS_CONTROLE[[#This Row],[Local - Encerramento]]=0, "-", BS_CONTROLE[[#This Row],[Local - Encerramento]])</f>
        <v>TGR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440TVL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441</v>
      </c>
      <c r="AQ155" s="177">
        <f>IF(BS_CONTROLE[[#This Row],[KM - Fim]]=0, "-", BS_CONTROLE[[#This Row],[KM - Fim]])</f>
        <v>446</v>
      </c>
      <c r="AR155" s="32"/>
      <c r="AS155" s="32"/>
      <c r="AT155" s="32"/>
      <c r="AU155" s="32"/>
      <c r="AV155" s="32"/>
      <c r="AW155" s="32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BASE_MAPA!$B$2:$B$408, BASE_MAPA!$G$2:$G$408), "ERRO")</f>
        <v>MARCO INICIAL - ALTO ARAGUAIA</v>
      </c>
      <c r="BF155" s="178" t="str">
        <f>IF(BS_CONTROLE[[#This Row],[Responsavel pelo boletim]]=0, "-", BS_CONTROLE[[#This Row],[Responsavel pelo boletim]])</f>
        <v>Elton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Produção e Intervalo</v>
      </c>
      <c r="BR155" s="15">
        <f t="shared" si="16"/>
        <v>0</v>
      </c>
      <c r="BS155" s="15">
        <f t="shared" si="17"/>
        <v>0</v>
      </c>
      <c r="BT155" s="157" t="str">
        <f t="shared" si="18"/>
        <v/>
      </c>
    </row>
    <row r="156" spans="1:72" ht="14.45" hidden="1">
      <c r="A156" s="44" t="str">
        <f t="shared" si="14"/>
        <v>ELSON (TF-526)46092</v>
      </c>
      <c r="B156" s="133">
        <v>46092</v>
      </c>
      <c r="C156" s="7">
        <f>IF(BS_CONTROLE[[#This Row],[DATA]]="","",WEEKNUM(BS_CONTROLE[[#This Row],[DATA]]))</f>
        <v>11</v>
      </c>
      <c r="D156" s="45" t="s">
        <v>303</v>
      </c>
      <c r="E156" s="185">
        <v>173</v>
      </c>
      <c r="F156" s="134" t="s">
        <v>193</v>
      </c>
      <c r="G156" s="8" t="str">
        <f>IF(D156="","*",VLOOKUP(F156,BS_ATIVIDADE[#All],3,FALSE))</f>
        <v>SOLDA</v>
      </c>
      <c r="H156" s="135" t="s">
        <v>1515</v>
      </c>
      <c r="I156" s="135"/>
      <c r="J156" s="151">
        <v>74</v>
      </c>
      <c r="K156" s="151">
        <v>362.11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6" s="149" t="s">
        <v>1515</v>
      </c>
      <c r="O156" s="135">
        <v>0.41666666666666669</v>
      </c>
      <c r="P156" s="135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TSESUL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TSE</v>
      </c>
      <c r="AN156" s="175" t="str">
        <f>IF(BS_CONTROLE[[#This Row],[SB]]=0, "-", BS_CONTROLE[[#This Row],[SB]])</f>
        <v>TSESUL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362.11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>BRUNO (TF-525)46092</v>
      </c>
      <c r="B161" s="133">
        <v>46092</v>
      </c>
      <c r="C161" s="7">
        <f>IF(BS_CONTROLE[[#This Row],[DATA]]="","",WEEKNUM(BS_CONTROLE[[#This Row],[DATA]]))</f>
        <v>11</v>
      </c>
      <c r="D161" s="45" t="s">
        <v>278</v>
      </c>
      <c r="E161" s="185">
        <v>178</v>
      </c>
      <c r="F161" s="134" t="s">
        <v>193</v>
      </c>
      <c r="G161" s="8" t="str">
        <f>IF(D161="","*",VLOOKUP(F161,BS_ATIVIDADE[#All],3,FALSE))</f>
        <v>SOLDA</v>
      </c>
      <c r="H161" s="135" t="s">
        <v>597</v>
      </c>
      <c r="I161" s="135"/>
      <c r="J161" s="151">
        <v>74</v>
      </c>
      <c r="K161" s="151">
        <v>97.04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1" s="135">
        <v>0.33333333333333331</v>
      </c>
      <c r="P161" s="135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K97TIN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TSP-TIN</v>
      </c>
      <c r="AN161" s="175" t="str">
        <f>IF(BS_CONTROLE[[#This Row],[SB]]=0, "-", BS_CONTROLE[[#This Row],[SB]])</f>
        <v>K97TIN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97.04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Produção e Intervalo</v>
      </c>
      <c r="BR161" s="15">
        <f t="shared" si="16"/>
        <v>0</v>
      </c>
      <c r="BS161" s="15">
        <f t="shared" si="17"/>
        <v>0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>E1846092</v>
      </c>
      <c r="B164" s="133">
        <v>46092</v>
      </c>
      <c r="C164" s="7">
        <f>IF(BS_CONTROLE[[#This Row],[DATA]]="","",WEEKNUM(BS_CONTROLE[[#This Row],[DATA]]))</f>
        <v>11</v>
      </c>
      <c r="D164" s="45" t="s">
        <v>1280</v>
      </c>
      <c r="E164" s="185">
        <v>181</v>
      </c>
      <c r="F164" s="134" t="s">
        <v>13</v>
      </c>
      <c r="G164" s="8" t="str">
        <f>IF(D164="","*",VLOOKUP(F164,BS_ATIVIDADE[#All],3,FALSE))</f>
        <v>CAMINHÂO - SOLDA</v>
      </c>
      <c r="H164" s="135" t="s">
        <v>827</v>
      </c>
      <c r="I164" s="135" t="s">
        <v>827</v>
      </c>
      <c r="J164" s="151">
        <v>78</v>
      </c>
      <c r="K164" s="151">
        <v>178.35</v>
      </c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4" s="135">
        <v>0.35416666666666669</v>
      </c>
      <c r="P164" s="135">
        <v>0.125</v>
      </c>
      <c r="Q164" s="71">
        <v>3</v>
      </c>
      <c r="R164" s="9" t="str">
        <f>IFERROR(_xlfn.XLOOKUP(F164, BS_ATIVIDADE[ATIVIDADE],BS_ATIVIDADE[UNIDADE] ), "*")</f>
        <v>Nº DE SOLDA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199" t="str">
        <f>IFERROR(_xlfn.XLOOKUP(J164, BASE_MAPA!$B$2:$B$408, BASE_MAPA!$G$2:$G$408), "ERRO")</f>
        <v>ITIRAPINA - BAURU</v>
      </c>
      <c r="V164" s="143" t="s">
        <v>1509</v>
      </c>
      <c r="W164" s="135" t="s">
        <v>1282</v>
      </c>
      <c r="X164" s="152" t="s">
        <v>379</v>
      </c>
      <c r="Y164" s="129"/>
      <c r="Z164" s="129"/>
      <c r="AA164" s="71">
        <v>1</v>
      </c>
      <c r="AB164" s="59" t="s">
        <v>371</v>
      </c>
      <c r="AC164" s="59" t="s">
        <v>366</v>
      </c>
      <c r="AD164" s="135">
        <v>0.29166666666666669</v>
      </c>
      <c r="AE164" s="71">
        <v>6252</v>
      </c>
      <c r="AF164" s="71"/>
      <c r="AG164" s="71"/>
      <c r="AH164" s="42"/>
      <c r="AI164" s="119" t="str">
        <f>IF(BS_CONTROLE[[#This Row],[Atividade]]=0, "-", BS_CONTROLE[[#This Row],[Atividade]])</f>
        <v>CAMINHÃO DE SOLDA</v>
      </c>
      <c r="AJ164" s="8" t="str">
        <f>IF(D164="","*",VLOOKUP(AI164,BS_ATIVIDADE[#Data],3,FALSE))</f>
        <v>CAMINHÂO - SOLDA</v>
      </c>
      <c r="AK164" s="175" t="str">
        <f>IF(BS_CONTROLE[[#This Row],[Local - Partida]]=0, "-", BS_CONTROLE[[#This Row],[Local - Partida]])</f>
        <v>ZIQZQY</v>
      </c>
      <c r="AL164" s="175" t="str">
        <f>IF(BS_CONTROLE[[#This Row],[Local - Encerramento]]=0, "-", BS_CONTROLE[[#This Row],[Local - Encerramento]])</f>
        <v>ZIQZQY</v>
      </c>
      <c r="AM164" s="175" t="str">
        <f>IF(BS_CONTROLE[[#This Row],[Entre - Estações]]=0, "-", BS_CONTROLE[[#This Row],[Entre - Estações]])</f>
        <v>ZIQ-ZQY</v>
      </c>
      <c r="AN164" s="175" t="str">
        <f>IF(BS_CONTROLE[[#This Row],[SB]]=0, "-", BS_CONTROLE[[#This Row],[SB]])</f>
        <v>ZIQZQY</v>
      </c>
      <c r="AO164" s="176">
        <f>IF(BS_CONTROLE[[#This Row],[SUB]]=0, "-", BS_CONTROLE[[#This Row],[SUB]])</f>
        <v>78</v>
      </c>
      <c r="AP164" s="177">
        <f>IF(BS_CONTROLE[[#This Row],[KM - Inicio]]=0, "-", BS_CONTROLE[[#This Row],[KM - Inicio]])</f>
        <v>178.35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IF(D164="","*",IFERROR(IF(ISODD(COUNT(AS164:AX164)),"ERRO",SUM((AT164-AS164),(AV164-AU164),(AX164-AW164))),"ERRO"))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Nº DE SOLDA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200" t="str">
        <f>IFERROR(_xlfn.XLOOKUP(AO164, BASE_MAPA!$B$2:$B$408, BASE_MAPA!$G$2:$G$408), "ERRO")</f>
        <v>ITIRAPINA - BAURU</v>
      </c>
      <c r="BF164" s="178" t="str">
        <f>IF(BS_CONTROLE[[#This Row],[Responsavel pelo boletim]]=0, "-", BS_CONTROLE[[#This Row],[Responsavel pelo boletim]])</f>
        <v>Tiago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Produção e Intervalo</v>
      </c>
      <c r="BR164" s="15">
        <f t="shared" si="16"/>
        <v>0</v>
      </c>
      <c r="BS164" s="15">
        <f t="shared" si="17"/>
        <v>0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1516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1518</v>
      </c>
      <c r="E3" s="186" t="s">
        <v>1519</v>
      </c>
      <c r="F3" s="186" t="s">
        <v>1520</v>
      </c>
      <c r="G3" s="186" t="s">
        <v>1521</v>
      </c>
      <c r="H3" s="186" t="s">
        <v>1522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1524</v>
      </c>
      <c r="D13" s="187">
        <v>9049</v>
      </c>
      <c r="E13" s="188">
        <v>46044</v>
      </c>
      <c r="F13" s="190" t="s">
        <v>1525</v>
      </c>
      <c r="G13" s="187" t="s">
        <v>1526</v>
      </c>
      <c r="H13" s="187"/>
    </row>
    <row r="14" spans="3:8">
      <c r="C14" s="187" t="s">
        <v>1524</v>
      </c>
      <c r="D14" s="187">
        <v>9044</v>
      </c>
      <c r="E14" s="188">
        <v>46044</v>
      </c>
      <c r="F14" s="190" t="s">
        <v>1527</v>
      </c>
      <c r="G14" s="187" t="s">
        <v>1528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548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1260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257033</v>
      </c>
      <c r="D9" s="192" t="s">
        <v>1546</v>
      </c>
      <c r="E9" s="192" t="s">
        <v>240</v>
      </c>
      <c r="F9" s="192" t="s">
        <v>565</v>
      </c>
      <c r="G9" s="192" t="s">
        <v>1547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1549</v>
      </c>
      <c r="B2" s="91" t="s">
        <v>1550</v>
      </c>
      <c r="C2" s="91" t="s">
        <v>7</v>
      </c>
      <c r="D2" s="92" t="s">
        <v>1176</v>
      </c>
      <c r="E2" s="92" t="s">
        <v>548</v>
      </c>
      <c r="F2" s="92" t="s">
        <v>1551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Oportunidade</v>
      </c>
      <c r="C167" s="95" t="str">
        <f>IF(FN_MC!Z154="","*",FN_MC!Z154)</f>
        <v>*</v>
      </c>
      <c r="D167" s="96" t="str">
        <f>IF(FN_MC!S154="","*",FN_MC!S154)</f>
        <v>FERRONORTE</v>
      </c>
      <c r="E167" s="96" t="str">
        <f>IF(FN_MC!T154="","*",FN_MC!T154)</f>
        <v>TGR-TRO</v>
      </c>
      <c r="F167" s="96">
        <f>IF(FN_MC!B154="","*",FN_MC!B154)</f>
        <v>46092</v>
      </c>
      <c r="G167" s="96" t="str">
        <f>IF(FN_MC!D154="","*",FN_MC!D154)</f>
        <v>V86</v>
      </c>
      <c r="H167" s="96" t="str">
        <f>IF(FN_MC!F154="","*",FN_MC!F154)</f>
        <v>MECANIZAÇÃO - SOCADORA</v>
      </c>
      <c r="I167" s="96" t="str">
        <f>IF(FN_MC!H154="","*",FN_MC!H154)</f>
        <v>TIQ</v>
      </c>
      <c r="J167" s="96" t="str">
        <f>IF(FN_MC!I154="","*",FN_MC!I154)</f>
        <v>TIQ</v>
      </c>
      <c r="K167" s="96" t="str">
        <f>IF(FN_MC!M154="","*",FN_MC!M154)</f>
        <v>TBS-TAL</v>
      </c>
      <c r="L167" s="196">
        <f>IF(FN_MC!N154="","*",FN_MC!N154)</f>
        <v>671677</v>
      </c>
      <c r="M167" s="97">
        <f>IF(FN_MC!J154="","*",FN_MC!J154)</f>
        <v>98</v>
      </c>
      <c r="N167" s="183">
        <f>IF(FN_MC!K154="","*",FN_MC!K154)</f>
        <v>675</v>
      </c>
      <c r="O167" s="183">
        <f>IF(FN_MC!L154="","*",FN_MC!L154)</f>
        <v>682</v>
      </c>
      <c r="P167" s="107">
        <f>IF(FN_MC!O154="","*",FN_MC!O154)</f>
        <v>0.41666666666666669</v>
      </c>
      <c r="Q167" s="107">
        <f>IF(FN_MC!P154="","*",FN_MC!P154)</f>
        <v>8.3333333333333329E-2</v>
      </c>
      <c r="R167" s="96" t="str">
        <f>IF(FN_MC!Q154="","*",CONCATENATE(FN_MC!Q154," ",FN_MC!R154))</f>
        <v>1120 M</v>
      </c>
      <c r="S167" s="96" t="str">
        <f>IF(FN_MC!V154="","*",FN_MC!V154)</f>
        <v>Saulo</v>
      </c>
      <c r="T167" s="96" t="str">
        <f>IF(FN_MC!W154="","*",FN_MC!W154)</f>
        <v xml:space="preserve">Socaria mecanizada </v>
      </c>
      <c r="U167" s="98">
        <f ca="1">_xlfn.XLOOKUP(G167&amp;$U$2,BS_CONTROLE[CHAVE],BS_CONTROLE[Quantidade_11],"-")</f>
        <v>1607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358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Oportunidade</v>
      </c>
      <c r="C168" s="95" t="str">
        <f>IF(FN_MC!Z155="","*",FN_MC!Z155)</f>
        <v>*</v>
      </c>
      <c r="D168" s="96" t="str">
        <f>IF(FN_MC!S155="","*",FN_MC!S155)</f>
        <v>FERRONORTE</v>
      </c>
      <c r="E168" s="96" t="str">
        <f>IF(FN_MC!T155="","*",FN_MC!T155)</f>
        <v>TCS-TGR</v>
      </c>
      <c r="F168" s="96">
        <f>IF(FN_MC!B155="","*",FN_MC!B155)</f>
        <v>46092</v>
      </c>
      <c r="G168" s="96" t="str">
        <f>IF(FN_MC!D155="","*",FN_MC!D155)</f>
        <v>W70</v>
      </c>
      <c r="H168" s="96" t="str">
        <f>IF(FN_MC!F155="","*",FN_MC!F155)</f>
        <v>PDM - PEDRA - DESCARGA</v>
      </c>
      <c r="I168" s="96" t="str">
        <f>IF(FN_MC!H155="","*",FN_MC!H155)</f>
        <v>TGR</v>
      </c>
      <c r="J168" s="96" t="str">
        <f>IF(FN_MC!I155="","*",FN_MC!I155)</f>
        <v>TGR</v>
      </c>
      <c r="K168" s="96" t="str">
        <f>IF(FN_MC!M155="","*",FN_MC!M155)</f>
        <v>TPC-TVL</v>
      </c>
      <c r="L168" s="196" t="str">
        <f>IF(FN_MC!N155="","*",FN_MC!N155)</f>
        <v>440TVL</v>
      </c>
      <c r="M168" s="97">
        <f>IF(FN_MC!J155="","*",FN_MC!J155)</f>
        <v>74</v>
      </c>
      <c r="N168" s="183">
        <f>IF(FN_MC!K155="","*",FN_MC!K155)</f>
        <v>441</v>
      </c>
      <c r="O168" s="183">
        <f>IF(FN_MC!L155="","*",FN_MC!L155)</f>
        <v>446</v>
      </c>
      <c r="P168" s="107">
        <f>IF(FN_MC!O155="","*",FN_MC!O155)</f>
        <v>0.41666666666666669</v>
      </c>
      <c r="Q168" s="107">
        <f>IF(FN_MC!P155="","*",FN_MC!P155)</f>
        <v>8.3333333333333329E-2</v>
      </c>
      <c r="R168" s="96" t="str">
        <f>IF(FN_MC!Q155="","*",CONCATENATE(FN_MC!Q155," ",FN_MC!R155))</f>
        <v>17 VAGÕES</v>
      </c>
      <c r="S168" s="96" t="str">
        <f>IF(FN_MC!V155="","*",FN_MC!V155)</f>
        <v>Elton</v>
      </c>
      <c r="T168" s="96" t="str">
        <f>IF(FN_MC!W155="","*",FN_MC!W155)</f>
        <v>Descarga de pedra</v>
      </c>
      <c r="U168" s="98">
        <f ca="1">_xlfn.XLOOKUP(G168&amp;$U$2,BS_CONTROLE[CHAVE],BS_CONTROLE[Quantidade_11],"-")</f>
        <v>0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FERRONORTE</v>
      </c>
      <c r="E169" s="96" t="str">
        <f>IF(FN_MC!T156="","*",FN_MC!T156)</f>
        <v>TCS-TGR</v>
      </c>
      <c r="F169" s="96">
        <f>IF(FN_MC!B156="","*",FN_MC!B156)</f>
        <v>46092</v>
      </c>
      <c r="G169" s="96" t="str">
        <f>IF(FN_MC!D156="","*",FN_MC!D156)</f>
        <v>ELSON (TF-526)</v>
      </c>
      <c r="H169" s="96" t="str">
        <f>IF(FN_MC!F156="","*",FN_MC!F156)</f>
        <v>PDM - SOLDA</v>
      </c>
      <c r="I169" s="96" t="str">
        <f>IF(FN_MC!H156="","*",FN_MC!H156)</f>
        <v>TSESUL</v>
      </c>
      <c r="J169" s="96" t="str">
        <f>IF(FN_MC!I156="","*",FN_MC!I156)</f>
        <v>*</v>
      </c>
      <c r="K169" s="96" t="str">
        <f>IF(FN_MC!M156="","*",FN_MC!M156)</f>
        <v>TSE</v>
      </c>
      <c r="L169" s="196" t="str">
        <f>IF(FN_MC!N156="","*",FN_MC!N156)</f>
        <v>TSESUL</v>
      </c>
      <c r="M169" s="97">
        <f>IF(FN_MC!J156="","*",FN_MC!J156)</f>
        <v>74</v>
      </c>
      <c r="N169" s="183">
        <f>IF(FN_MC!K156="","*",FN_MC!K156)</f>
        <v>362.11</v>
      </c>
      <c r="O169" s="183" t="str">
        <f>IF(FN_MC!L156="","*",FN_MC!L156)</f>
        <v>-</v>
      </c>
      <c r="P169" s="107">
        <f>IF(FN_MC!O156="","*",FN_MC!O156)</f>
        <v>0.41666666666666669</v>
      </c>
      <c r="Q169" s="107">
        <f>IF(FN_MC!P156="","*",FN_MC!P156)</f>
        <v>8.3333333333333329E-2</v>
      </c>
      <c r="R169" s="96" t="str">
        <f>IF(FN_MC!Q156="","*",CONCATENATE(FN_MC!Q156," ",FN_MC!R156))</f>
        <v>2 Nº DE SOLDA</v>
      </c>
      <c r="S169" s="96" t="str">
        <f>IF(FN_MC!V156="","*",FN_MC!V156)</f>
        <v>*</v>
      </c>
      <c r="T169" s="96" t="str">
        <f>IF(FN_MC!W156="","*",FN_MC!W156)</f>
        <v>*</v>
      </c>
      <c r="U169" s="98">
        <f ca="1">_xlfn.XLOOKUP(G169&amp;$U$2,BS_CONTROLE[CHAVE],BS_CONTROLE[Quantidade_11],"-")</f>
        <v>2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FERRONORTE</v>
      </c>
      <c r="E174" s="96" t="str">
        <f>IF(FN_MC!T161="","*",FN_MC!T161)</f>
        <v>TMI-TCS</v>
      </c>
      <c r="F174" s="96">
        <f>IF(FN_MC!B161="","*",FN_MC!B161)</f>
        <v>46092</v>
      </c>
      <c r="G174" s="96" t="str">
        <f>IF(FN_MC!D161="","*",FN_MC!D161)</f>
        <v>BRUNO (TF-525)</v>
      </c>
      <c r="H174" s="96" t="str">
        <f>IF(FN_MC!F161="","*",FN_MC!F161)</f>
        <v>PDM - SOLDA</v>
      </c>
      <c r="I174" s="96" t="str">
        <f>IF(FN_MC!H161="","*",FN_MC!H161)</f>
        <v>K97TIN</v>
      </c>
      <c r="J174" s="96" t="str">
        <f>IF(FN_MC!I161="","*",FN_MC!I161)</f>
        <v>*</v>
      </c>
      <c r="K174" s="96" t="str">
        <f>IF(FN_MC!M161="","*",FN_MC!M161)</f>
        <v>TSP-TIN</v>
      </c>
      <c r="L174" s="196" t="str">
        <f>IF(FN_MC!N161="","*",FN_MC!N161)</f>
        <v>K97TIN</v>
      </c>
      <c r="M174" s="97">
        <f>IF(FN_MC!J161="","*",FN_MC!J161)</f>
        <v>74</v>
      </c>
      <c r="N174" s="183">
        <f>IF(FN_MC!K161="","*",FN_MC!K161)</f>
        <v>97.04</v>
      </c>
      <c r="O174" s="183" t="str">
        <f>IF(FN_MC!L161="","*",FN_MC!L161)</f>
        <v>-</v>
      </c>
      <c r="P174" s="107">
        <f>IF(FN_MC!O161="","*",FN_MC!O161)</f>
        <v>0.33333333333333331</v>
      </c>
      <c r="Q174" s="107">
        <f>IF(FN_MC!P161="","*",FN_MC!P161)</f>
        <v>8.3333333333333329E-2</v>
      </c>
      <c r="R174" s="96" t="str">
        <f>IF(FN_MC!Q161="","*",CONCATENATE(FN_MC!Q161," ",FN_MC!R161))</f>
        <v>2 Nº DE SOLDA</v>
      </c>
      <c r="S174" s="96" t="str">
        <f>IF(FN_MC!V161="","*",FN_MC!V161)</f>
        <v>*</v>
      </c>
      <c r="T174" s="96" t="str">
        <f>IF(FN_MC!W161="","*",FN_MC!W161)</f>
        <v>*</v>
      </c>
      <c r="U174" s="98">
        <f ca="1">_xlfn.XLOOKUP(G174&amp;$U$2,BS_CONTROLE[CHAVE],BS_CONTROLE[Quantidade_11],"-")</f>
        <v>2</v>
      </c>
      <c r="V174" s="98" t="str">
        <f ca="1">_xlfn.XLOOKUP(G174&amp;$V$2,BS_CONTROLE[CHAVE],BS_CONTROLE[Quantidade_11],"-")</f>
        <v>-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Oportunidade</v>
      </c>
      <c r="C177" s="95" t="str">
        <f>IF(FN_MC!Z164="","*",FN_MC!Z164)</f>
        <v>*</v>
      </c>
      <c r="D177" s="96" t="str">
        <f>IF(FN_MC!S164="","*",FN_MC!S164)</f>
        <v>MALHA CENTRAL</v>
      </c>
      <c r="E177" s="96" t="str">
        <f>IF(FN_MC!T164="","*",FN_MC!T164)</f>
        <v>RAMAL</v>
      </c>
      <c r="F177" s="96">
        <f>IF(FN_MC!B164="","*",FN_MC!B164)</f>
        <v>46092</v>
      </c>
      <c r="G177" s="96" t="str">
        <f>IF(FN_MC!D164="","*",FN_MC!D164)</f>
        <v>E18</v>
      </c>
      <c r="H177" s="96" t="str">
        <f>IF(FN_MC!F164="","*",FN_MC!F164)</f>
        <v>CAMINHÃO DE SOLDA</v>
      </c>
      <c r="I177" s="96" t="str">
        <f>IF(FN_MC!H164="","*",FN_MC!H164)</f>
        <v>ZIQZQY</v>
      </c>
      <c r="J177" s="96" t="str">
        <f>IF(FN_MC!I164="","*",FN_MC!I164)</f>
        <v>ZIQZQY</v>
      </c>
      <c r="K177" s="96" t="str">
        <f>IF(FN_MC!M164="","*",FN_MC!M164)</f>
        <v>ZIQ-ZQY</v>
      </c>
      <c r="L177" s="196" t="str">
        <f>IF(FN_MC!N164="","*",FN_MC!N164)</f>
        <v>ZIQZQY</v>
      </c>
      <c r="M177" s="97">
        <f>IF(FN_MC!J164="","*",FN_MC!J164)</f>
        <v>78</v>
      </c>
      <c r="N177" s="183">
        <f>IF(FN_MC!K164="","*",FN_MC!K164)</f>
        <v>178.35</v>
      </c>
      <c r="O177" s="183" t="str">
        <f>IF(FN_MC!L164="","*",FN_MC!L164)</f>
        <v>-</v>
      </c>
      <c r="P177" s="107">
        <f>IF(FN_MC!O164="","*",FN_MC!O164)</f>
        <v>0.35416666666666669</v>
      </c>
      <c r="Q177" s="107">
        <f>IF(FN_MC!P164="","*",FN_MC!P164)</f>
        <v>0.125</v>
      </c>
      <c r="R177" s="96" t="str">
        <f>IF(FN_MC!Q164="","*",CONCATENATE(FN_MC!Q164," ",FN_MC!R164))</f>
        <v>3 Nº DE SOLDA</v>
      </c>
      <c r="S177" s="96" t="str">
        <f>IF(FN_MC!V164="","*",FN_MC!V164)</f>
        <v>Tiago</v>
      </c>
      <c r="T177" s="96" t="str">
        <f>IF(FN_MC!W164="","*",FN_MC!W164)</f>
        <v>Caminhão de solda</v>
      </c>
      <c r="U177" s="98">
        <f ca="1">_xlfn.XLOOKUP(G177&amp;$U$2,BS_CONTROLE[CHAVE],BS_CONTROLE[Quantidade_11],"-")</f>
        <v>0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1553</v>
      </c>
      <c r="D5" s="246"/>
      <c r="E5" s="246"/>
      <c r="F5" s="246"/>
      <c r="G5" s="246"/>
      <c r="H5" s="246"/>
      <c r="I5" s="246"/>
      <c r="J5" s="247"/>
      <c r="K5" s="248" t="s">
        <v>1554</v>
      </c>
      <c r="L5" s="249"/>
      <c r="M5" s="249"/>
      <c r="N5" s="249"/>
      <c r="O5" s="250" t="s">
        <v>1555</v>
      </c>
      <c r="P5" s="251"/>
      <c r="Q5" s="252"/>
    </row>
    <row r="6" spans="1:17" s="81" customFormat="1" ht="15.75" customHeight="1">
      <c r="A6" s="75" t="s">
        <v>1551</v>
      </c>
      <c r="B6" s="82" t="s">
        <v>1550</v>
      </c>
      <c r="C6" s="83" t="s">
        <v>1176</v>
      </c>
      <c r="D6" s="84" t="s">
        <v>1177</v>
      </c>
      <c r="E6" s="83" t="s">
        <v>1556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1557</v>
      </c>
      <c r="M6" s="116" t="s">
        <v>29</v>
      </c>
      <c r="N6" s="117" t="s">
        <v>1171</v>
      </c>
      <c r="O6" s="165" t="s">
        <v>1214</v>
      </c>
      <c r="P6" s="128"/>
      <c r="Q6" s="139" t="s">
        <v>1558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IF(FN_MC!B155="","*",FN_MC!B155)</f>
        <v>46092</v>
      </c>
      <c r="B178" s="86" t="str">
        <f>IF(FN_MC!X155="","*",FN_MC!X155)</f>
        <v>Oportunidade</v>
      </c>
      <c r="C178" s="87" t="str">
        <f>IF(FN_MC!S155="","*",FN_MC!S155)</f>
        <v>FERRONORTE</v>
      </c>
      <c r="D178" s="87" t="str">
        <f>IF(FN_MC!T155="","*",FN_MC!T155)</f>
        <v>TCS-TGR</v>
      </c>
      <c r="E178" s="87" t="str">
        <f>IF(FN_MC!D155="","*",FN_MC!D155)</f>
        <v>W70</v>
      </c>
      <c r="F178" s="87" t="str">
        <f>IF(FN_MC!H155="","*",FN_MC!H155)</f>
        <v>TGR</v>
      </c>
      <c r="G178" s="87" t="str">
        <f>IF(FN_MC!M155="","*",FN_MC!M155)</f>
        <v>TPC-TVL</v>
      </c>
      <c r="H178" s="125">
        <f>IF(FN_MC!K155="","*",FN_MC!K155)</f>
        <v>441</v>
      </c>
      <c r="I178" s="110">
        <f>IF(FN_MC!O155="","*",FN_MC!O155)</f>
        <v>0.41666666666666669</v>
      </c>
      <c r="J178" s="110">
        <f>IF(FN_MC!P155="","*",FN_MC!P155)</f>
        <v>8.3333333333333329E-2</v>
      </c>
      <c r="K178" s="118" t="str">
        <f>IF(FN_MC!AK155="","*",FN_MC!AK155)</f>
        <v>TGR</v>
      </c>
      <c r="L178" s="118" t="str">
        <f>IF(FN_MC!AM155="","*",FN_MC!AM155)</f>
        <v>TPC-TVL</v>
      </c>
      <c r="M178" s="118">
        <f>IF(FN_MC!AP155="","*",FN_MC!AP155)</f>
        <v>441</v>
      </c>
      <c r="N178" s="118" t="str">
        <f>IF(FN_MC!AM155="","*",FN_MC!AM155)</f>
        <v>TPC-TVL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>
        <f>IF(FN_MC!B156="","*",FN_MC!B156)</f>
        <v>46092</v>
      </c>
      <c r="B179" s="86" t="str">
        <f>IF(FN_MC!X156="","*",FN_MC!X156)</f>
        <v>*</v>
      </c>
      <c r="C179" s="87" t="str">
        <f>IF(FN_MC!S156="","*",FN_MC!S156)</f>
        <v>FERRONORTE</v>
      </c>
      <c r="D179" s="87" t="str">
        <f>IF(FN_MC!T156="","*",FN_MC!T156)</f>
        <v>TCS-TGR</v>
      </c>
      <c r="E179" s="87" t="str">
        <f>IF(FN_MC!D156="","*",FN_MC!D156)</f>
        <v>ELSON (TF-526)</v>
      </c>
      <c r="F179" s="87" t="str">
        <f>IF(FN_MC!H156="","*",FN_MC!H156)</f>
        <v>TSESUL</v>
      </c>
      <c r="G179" s="87" t="str">
        <f>IF(FN_MC!M156="","*",FN_MC!M156)</f>
        <v>TSE</v>
      </c>
      <c r="H179" s="125">
        <f>IF(FN_MC!K156="","*",FN_MC!K156)</f>
        <v>362.11</v>
      </c>
      <c r="I179" s="110">
        <f>IF(FN_MC!O156="","*",FN_MC!O156)</f>
        <v>0.41666666666666669</v>
      </c>
      <c r="J179" s="110">
        <f>IF(FN_MC!P156="","*",FN_MC!P156)</f>
        <v>8.3333333333333329E-2</v>
      </c>
      <c r="K179" s="118" t="str">
        <f>IF(FN_MC!AK156="","*",FN_MC!AK156)</f>
        <v>TSESUL</v>
      </c>
      <c r="L179" s="118" t="str">
        <f>IF(FN_MC!AM156="","*",FN_MC!AM156)</f>
        <v>TSE</v>
      </c>
      <c r="M179" s="118">
        <f>IF(FN_MC!AP156="","*",FN_MC!AP156)</f>
        <v>362.11</v>
      </c>
      <c r="N179" s="118" t="str">
        <f>IF(FN_MC!AM156="","*",FN_MC!AM156)</f>
        <v>TSE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>
        <f>IF(FN_MC!B161="","*",FN_MC!B161)</f>
        <v>46092</v>
      </c>
      <c r="B184" s="86" t="str">
        <f>IF(FN_MC!X161="","*",FN_MC!X161)</f>
        <v>*</v>
      </c>
      <c r="C184" s="87" t="str">
        <f>IF(FN_MC!S161="","*",FN_MC!S161)</f>
        <v>FERRONORTE</v>
      </c>
      <c r="D184" s="87" t="str">
        <f>IF(FN_MC!T161="","*",FN_MC!T161)</f>
        <v>TMI-TCS</v>
      </c>
      <c r="E184" s="87" t="str">
        <f>IF(FN_MC!D161="","*",FN_MC!D161)</f>
        <v>BRUNO (TF-525)</v>
      </c>
      <c r="F184" s="87" t="str">
        <f>IF(FN_MC!H161="","*",FN_MC!H161)</f>
        <v>K97TIN</v>
      </c>
      <c r="G184" s="87" t="str">
        <f>IF(FN_MC!M161="","*",FN_MC!M161)</f>
        <v>TSP-TIN</v>
      </c>
      <c r="H184" s="125">
        <f>IF(FN_MC!K161="","*",FN_MC!K161)</f>
        <v>97.04</v>
      </c>
      <c r="I184" s="110">
        <f>IF(FN_MC!O161="","*",FN_MC!O161)</f>
        <v>0.33333333333333331</v>
      </c>
      <c r="J184" s="110">
        <f>IF(FN_MC!P161="","*",FN_MC!P161)</f>
        <v>8.3333333333333329E-2</v>
      </c>
      <c r="K184" s="118" t="str">
        <f>IF(FN_MC!AK161="","*",FN_MC!AK161)</f>
        <v>K97TIN</v>
      </c>
      <c r="L184" s="118" t="str">
        <f>IF(FN_MC!AM161="","*",FN_MC!AM161)</f>
        <v>TSP-TIN</v>
      </c>
      <c r="M184" s="118">
        <f>IF(FN_MC!AP161="","*",FN_MC!AP161)</f>
        <v>97.04</v>
      </c>
      <c r="N184" s="118" t="str">
        <f>IF(FN_MC!AM161="","*",FN_MC!AM161)</f>
        <v>TSP-TIN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>
        <f>IF(FN_MC!B164="","*",FN_MC!B164)</f>
        <v>46092</v>
      </c>
      <c r="B187" s="86" t="str">
        <f>IF(FN_MC!X164="","*",FN_MC!X164)</f>
        <v>Oportunidade</v>
      </c>
      <c r="C187" s="87" t="str">
        <f>IF(FN_MC!S164="","*",FN_MC!S164)</f>
        <v>MALHA CENTRAL</v>
      </c>
      <c r="D187" s="87" t="str">
        <f>IF(FN_MC!T164="","*",FN_MC!T164)</f>
        <v>RAMAL</v>
      </c>
      <c r="E187" s="87" t="str">
        <f>IF(FN_MC!D164="","*",FN_MC!D164)</f>
        <v>E18</v>
      </c>
      <c r="F187" s="87" t="str">
        <f>IF(FN_MC!H164="","*",FN_MC!H164)</f>
        <v>ZIQZQY</v>
      </c>
      <c r="G187" s="87" t="str">
        <f>IF(FN_MC!M164="","*",FN_MC!M164)</f>
        <v>ZIQ-ZQY</v>
      </c>
      <c r="H187" s="125">
        <f>IF(FN_MC!K164="","*",FN_MC!K164)</f>
        <v>178.35</v>
      </c>
      <c r="I187" s="110">
        <f>IF(FN_MC!O164="","*",FN_MC!O164)</f>
        <v>0.35416666666666669</v>
      </c>
      <c r="J187" s="110">
        <f>IF(FN_MC!P164="","*",FN_MC!P164)</f>
        <v>0.125</v>
      </c>
      <c r="K187" s="118" t="str">
        <f>IF(FN_MC!AK164="","*",FN_MC!AK164)</f>
        <v>ZIQZQY</v>
      </c>
      <c r="L187" s="118" t="str">
        <f>IF(FN_MC!AM164="","*",FN_MC!AM164)</f>
        <v>ZIQ-ZQY</v>
      </c>
      <c r="M187" s="118">
        <f>IF(FN_MC!AP164="","*",FN_MC!AP164)</f>
        <v>178.35</v>
      </c>
      <c r="N187" s="118" t="str">
        <f>IF(FN_MC!AM164="","*",FN_MC!AM164)</f>
        <v>ZIQ-ZQY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1559</v>
      </c>
      <c r="C2" s="83" t="s">
        <v>1161</v>
      </c>
      <c r="D2" s="83" t="s">
        <v>1163</v>
      </c>
      <c r="E2" s="83" t="s">
        <v>1560</v>
      </c>
      <c r="F2" s="83" t="s">
        <v>1561</v>
      </c>
      <c r="G2" s="83" t="s">
        <v>1562</v>
      </c>
      <c r="H2" s="83" t="s">
        <v>1563</v>
      </c>
      <c r="I2" s="83" t="s">
        <v>1564</v>
      </c>
      <c r="J2" s="83" t="s">
        <v>1565</v>
      </c>
      <c r="K2" s="109" t="s">
        <v>1566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IF(FN_MC!Y155="","*",FN_MC!Y155)</f>
        <v>*</v>
      </c>
      <c r="C174" s="101">
        <f>IF(FN_MC!B155="","*",FN_MC!B155)</f>
        <v>46092</v>
      </c>
      <c r="D174" s="101" t="str">
        <f>IF(FN_MC!D155="","*",FN_MC!D155)</f>
        <v>W70</v>
      </c>
      <c r="E174" s="101" t="str">
        <f>IF(FN_MC!H155="","*",FN_MC!H155)</f>
        <v>TGR</v>
      </c>
      <c r="F174" s="114" t="str">
        <f>IF(FN_MC!M155="","*",FN_MC!M155)</f>
        <v>TPC-TVL</v>
      </c>
      <c r="G174" s="101" t="str">
        <f>IF(FN_MC!I155="","*",FN_MC!I155)</f>
        <v>TGR</v>
      </c>
      <c r="H174" s="101" t="str">
        <f>IF(FN_MC!AB155="","*",FN_MC!AB155)</f>
        <v>FIXO</v>
      </c>
      <c r="I174" s="101" t="str">
        <f>IF(FN_MC!AC155="","*",FN_MC!AC155)</f>
        <v>ACIONAMENTO</v>
      </c>
      <c r="J174" s="102" t="str">
        <f>IF(FN_MC!AA155="","*",FN_MC!AA155)</f>
        <v>2 Enio e Daniel</v>
      </c>
      <c r="K174" s="112">
        <f>IF(FN_MC!AD155="","*",FN_MC!AD155)</f>
        <v>0.29166666666666669</v>
      </c>
    </row>
    <row r="175" spans="2:11" hidden="1">
      <c r="B175" s="100" t="str">
        <f>IF(FN_MC!Y156="","*",FN_MC!Y156)</f>
        <v>*</v>
      </c>
      <c r="C175" s="101">
        <f>IF(FN_MC!B156="","*",FN_MC!B156)</f>
        <v>46092</v>
      </c>
      <c r="D175" s="101" t="str">
        <f>IF(FN_MC!D156="","*",FN_MC!D156)</f>
        <v>ELSON (TF-526)</v>
      </c>
      <c r="E175" s="101" t="str">
        <f>IF(FN_MC!H156="","*",FN_MC!H156)</f>
        <v>TSESUL</v>
      </c>
      <c r="F175" s="114" t="str">
        <f>IF(FN_MC!M156="","*",FN_MC!M156)</f>
        <v>TSE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>
        <f>IF(FN_MC!B161="","*",FN_MC!B161)</f>
        <v>46092</v>
      </c>
      <c r="D180" s="101" t="str">
        <f>IF(FN_MC!D161="","*",FN_MC!D161)</f>
        <v>BRUNO (TF-525)</v>
      </c>
      <c r="E180" s="101" t="str">
        <f>IF(FN_MC!H161="","*",FN_MC!H161)</f>
        <v>K97TIN</v>
      </c>
      <c r="F180" s="114" t="str">
        <f>IF(FN_MC!M161="","*",FN_MC!M161)</f>
        <v>TSP-TIN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>
        <f>IF(FN_MC!B164="","*",FN_MC!B164)</f>
        <v>46092</v>
      </c>
      <c r="D183" s="101" t="str">
        <f>IF(FN_MC!D164="","*",FN_MC!D164)</f>
        <v>E18</v>
      </c>
      <c r="E183" s="101" t="str">
        <f>IF(FN_MC!H164="","*",FN_MC!H164)</f>
        <v>ZIQZQY</v>
      </c>
      <c r="F183" s="114" t="str">
        <f>IF(FN_MC!M164="","*",FN_MC!M164)</f>
        <v>ZIQ-ZQY</v>
      </c>
      <c r="G183" s="101" t="str">
        <f>IF(FN_MC!I164="","*",FN_MC!I164)</f>
        <v>ZIQZQY</v>
      </c>
      <c r="H183" s="101" t="str">
        <f>IF(FN_MC!AB164="","*",FN_MC!AB164)</f>
        <v>FIXO</v>
      </c>
      <c r="I183" s="101" t="str">
        <f>IF(FN_MC!AC164="","*",FN_MC!AC164)</f>
        <v>ACIONAMENTO</v>
      </c>
      <c r="J183" s="102">
        <f>IF(FN_MC!AA164="","*",FN_MC!AA164)</f>
        <v>1</v>
      </c>
      <c r="K183" s="112">
        <f>IF(FN_MC!AD164="","*",FN_MC!AD164)</f>
        <v>0.29166666666666669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2026-03-10T17:58:48Z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