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96" documentId="8_{B6337239-1A00-434D-AAD0-422EA1FEB5AE}" xr6:coauthVersionLast="47" xr6:coauthVersionMax="47" xr10:uidLastSave="{1080B1D3-715B-4B8F-B641-58D9657961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7" i="1" l="1" a="1"/>
  <c r="N237" i="1" s="1"/>
  <c r="M237" i="1" a="1"/>
  <c r="M237" i="1" s="1"/>
  <c r="N236" i="1" a="1"/>
  <c r="N236" i="1" s="1"/>
  <c r="M236" i="1" a="1"/>
  <c r="M236" i="1" s="1"/>
  <c r="N241" i="1" a="1"/>
  <c r="N241" i="1"/>
  <c r="N242" i="1" a="1"/>
  <c r="N242" i="1"/>
  <c r="N243" i="1" a="1"/>
  <c r="N243" i="1"/>
  <c r="N244" i="1" a="1"/>
  <c r="N244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8" i="1" a="1"/>
  <c r="N238" i="1" s="1"/>
  <c r="M238" i="1" a="1"/>
  <c r="M238" i="1" s="1"/>
  <c r="N234" i="1" a="1"/>
  <c r="N234" i="1"/>
  <c r="M234" i="1" a="1"/>
  <c r="M234" i="1"/>
  <c r="M235" i="1" a="1"/>
  <c r="M235" i="1" s="1"/>
  <c r="N233" i="1" a="1"/>
  <c r="N233" i="1" s="1"/>
  <c r="M233" i="1" a="1"/>
  <c r="M233" i="1" s="1"/>
  <c r="N232" i="1" a="1"/>
  <c r="N232" i="1" s="1"/>
  <c r="M232" i="1" a="1"/>
  <c r="M232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AN241" i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AN242" i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M328" i="11"/>
  <c r="K330" i="11"/>
  <c r="K338" i="11"/>
  <c r="M340" i="11"/>
  <c r="K344" i="11"/>
  <c r="M344" i="11"/>
  <c r="K348" i="11"/>
  <c r="M349" i="11"/>
  <c r="M355" i="11"/>
  <c r="K361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0" i="1" l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<sst xmlns="http://schemas.openxmlformats.org/spreadsheetml/2006/main" count="6878" uniqueCount="1359">
  <si>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</si>
  <si>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</si>
  <si>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</si>
  <si>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</si>
  <si>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</si>
  <si>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</si>
  <si>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</si>
  <si>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</si>
  <si>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</si>
  <si>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</si>
  <si>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</si>
  <si>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</si>
  <si>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</si>
  <si>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</si>
  <si>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</si>
  <si>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</si>
  <si>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</si>
  <si>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</si>
  <si>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</si>
  <si>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</si>
  <si>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</si>
  <si>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</si>
  <si>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</si>
  <si>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</si>
  <si>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</si>
  <si>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</si>
  <si>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</si>
  <si>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</si>
  <si>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</si>
  <si>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</si>
  <si>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</si>
  <si>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</si>
  <si>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</si>
  <si>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</si>
  <si>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</si>
  <si>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</si>
  <si>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</si>
  <si>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</si>
  <si>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</si>
  <si>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</si>
  <si>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</si>
  <si>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</si>
  <si>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</si>
  <si>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</si>
  <si>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</si>
  <si>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</si>
  <si>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</si>
  <si>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</si>
  <si>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</si>
  <si>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</si>
  <si>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</si>
  <si>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</si>
  <si>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</si>
  <si>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</si>
  <si>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</si>
  <si>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</si>
  <si>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</si>
  <si>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</si>
  <si>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</si>
  <si>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</si>
  <si>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</si>
  <si>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</si>
  <si>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</si>
  <si>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</si>
  <si>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</si>
  <si>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</si>
  <si>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</si>
  <si>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</si>
  <si>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</si>
  <si>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</si>
  <si>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</si>
  <si>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</si>
  <si>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</si>
  <si>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</si>
  <si>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</si>
  <si>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</si>
  <si>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</si>
  <si>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</si>
  <si>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</si>
  <si>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</si>
  <si>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</si>
  <si>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</si>
  <si>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</si>
  <si>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</si>
  <si>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</si>
  <si>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</si>
  <si>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</si>
  <si>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</si>
  <si>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</si>
  <si>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</si>
  <si>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</si>
  <si>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</si>
  <si>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</si>
  <si>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</si>
  <si>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</si>
  <si>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</si>
  <si>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</si>
  <si>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</si>
  <si>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</si>
  <si>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</si>
  <si>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</si>
  <si>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</si>
  <si>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</si>
  <si>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</si>
  <si>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</si>
  <si>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</si>
  <si>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</si>
  <si>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</si>
  <si>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</si>
  <si>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</si>
  <si>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</si>
  <si>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</si>
  <si>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</si>
  <si>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</si>
  <si>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</si>
  <si>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</si>
  <si>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</si>
  <si>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</si>
  <si>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</si>
  <si>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</si>
  <si>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</si>
  <si>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</si>
  <si>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</si>
  <si>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</si>
  <si>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</si>
  <si>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</si>
  <si>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</si>
  <si>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</si>
  <si>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</si>
  <si>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</si>
  <si>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</si>
  <si>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</si>
  <si>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</si>
  <si>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</si>
  <si>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</si>
  <si>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</si>
  <si>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</si>
  <si>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</si>
  <si>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</si>
  <si>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</si>
  <si>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</si>
  <si>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</si>
  <si>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</si>
  <si>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</si>
  <si>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</si>
  <si>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</si>
  <si>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</si>
  <si>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</si>
  <si>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</si>
  <si>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</si>
  <si>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</si>
  <si>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</si>
  <si>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</si>
  <si>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</si>
  <si>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</si>
  <si>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</si>
  <si>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</si>
  <si>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</si>
  <si>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</si>
  <si>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</si>
  <si>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</si>
  <si>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</si>
  <si>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</si>
  <si>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</si>
  <si>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</si>
  <si>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</si>
  <si>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</si>
  <si>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</si>
  <si>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</si>
  <si>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</si>
  <si>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</si>
  <si>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</si>
  <si>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</si>
  <si>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</si>
  <si>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</si>
  <si>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</si>
  <si>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</si>
  <si>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</si>
  <si>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</si>
  <si>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</si>
  <si>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</si>
  <si>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</si>
  <si>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</si>
  <si>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</si>
  <si>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</si>
  <si>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</si>
  <si>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</si>
  <si>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</si>
  <si>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</si>
  <si>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</si>
  <si>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</si>
  <si>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</si>
  <si>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</si>
  <si>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</si>
  <si>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</si>
  <si>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</si>
  <si>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</si>
  <si>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</si>
  <si>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</si>
  <si>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</si>
  <si>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</si>
  <si>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</si>
  <si>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</si>
  <si>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</si>
  <si>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</si>
  <si>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</si>
  <si>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</si>
  <si>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</si>
  <si>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</si>
  <si>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</si>
  <si>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</si>
  <si>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</si>
  <si>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</si>
  <si>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</si>
  <si>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</si>
  <si>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</si>
  <si>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</si>
  <si>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</si>
  <si>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</si>
  <si>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</si>
  <si>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</si>
  <si>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</si>
  <si>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</si>
  <si>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</si>
  <si>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</si>
  <si>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</si>
  <si>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</si>
  <si>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</si>
  <si>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</si>
  <si>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</si>
  <si>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</si>
  <si>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</si>
  <si>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</si>
  <si>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</si>
  <si>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</si>
  <si>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</si>
  <si>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</si>
  <si>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</si>
  <si>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</si>
  <si>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</si>
  <si>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</si>
  <si>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</si>
  <si>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</si>
  <si>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</si>
  <si>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</si>
  <si>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</si>
  <si>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</si>
  <si>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</si>
  <si>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</si>
  <si>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</si>
  <si>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</si>
  <si>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</si>
  <si>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</si>
  <si>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</si>
  <si>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</si>
  <si>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</si>
  <si>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</si>
  <si>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</si>
  <si>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</si>
  <si>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</si>
  <si>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</si>
  <si>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</si>
  <si>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</si>
  <si>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</si>
  <si>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</si>
  <si>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</si>
  <si>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</si>
  <si>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</si>
  <si>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</si>
  <si>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</si>
  <si>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</si>
  <si>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</si>
  <si>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</si>
  <si>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</si>
  <si>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</si>
  <si>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</si>
  <si>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</si>
  <si>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</si>
  <si>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</si>
  <si>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</si>
  <si>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</si>
  <si>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</si>
  <si>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</si>
  <si>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</si>
  <si>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</si>
  <si>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</si>
  <si>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</si>
  <si>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</si>
  <si>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</si>
  <si>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</si>
  <si>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</si>
  <si>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</si>
  <si>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</si>
  <si>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</si>
  <si>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</si>
  <si>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</si>
  <si>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</si>
  <si>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</si>
  <si>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</si>
  <si>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</si>
  <si>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</si>
  <si>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</si>
  <si>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</si>
  <si>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</si>
  <si>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</si>
  <si>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</si>
  <si>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</si>
  <si>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</si>
  <si>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</si>
  <si>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</si>
  <si>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</si>
  <si>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</si>
  <si>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</si>
  <si>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</si>
  <si>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</si>
  <si>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</si>
  <si>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</si>
  <si>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</si>
  <si>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</si>
  <si>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</si>
  <si>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</si>
  <si>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</si>
  <si>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</si>
  <si>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</si>
  <si>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</si>
  <si>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</si>
  <si>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</si>
  <si>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</si>
  <si>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</si>
  <si>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</si>
  <si>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</si>
  <si>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</si>
  <si>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</si>
  <si>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</si>
  <si>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</si>
  <si>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</si>
  <si>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</si>
  <si>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</si>
  <si>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</si>
  <si>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</si>
  <si>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</si>
  <si>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</si>
  <si>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</si>
  <si>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</si>
  <si>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</si>
  <si>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</si>
  <si>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</si>
  <si>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</si>
  <si>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</si>
  <si>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</si>
  <si>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</si>
  <si>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</si>
  <si>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</si>
  <si>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</si>
  <si>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</si>
  <si>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</si>
  <si>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</si>
  <si>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</si>
  <si>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</si>
  <si>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</si>
  <si>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</si>
  <si>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</si>
  <si>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</si>
  <si>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</si>
  <si>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</si>
  <si>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</si>
  <si>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</si>
  <si>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</si>
  <si>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</si>
  <si>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</si>
  <si>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</si>
  <si>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</si>
  <si>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</si>
  <si>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</si>
  <si>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</si>
  <si>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</si>
  <si>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</si>
  <si>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</si>
  <si>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</si>
  <si>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</si>
  <si>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</si>
  <si>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</si>
  <si>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</si>
  <si>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</si>
  <si>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</si>
  <si>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</si>
  <si>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</si>
  <si>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</si>
  <si>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</si>
  <si>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</si>
  <si>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</si>
  <si>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</si>
  <si>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</si>
  <si>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</si>
  <si>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</si>
  <si>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</si>
  <si>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</si>
  <si>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</si>
  <si>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</si>
  <si>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</si>
  <si>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</si>
  <si>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</si>
  <si>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</si>
  <si>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</si>
  <si>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</si>
  <si>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</si>
  <si>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</si>
  <si>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</si>
  <si>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</si>
  <si>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</si>
  <si>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</si>
  <si>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</si>
  <si>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</si>
  <si>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</si>
  <si>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</si>
  <si>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</si>
  <si>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</si>
  <si>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</si>
  <si>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</si>
  <si>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</si>
  <si>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</si>
  <si>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</si>
  <si>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</si>
  <si>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</si>
  <si>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</si>
  <si>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</si>
  <si>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</si>
  <si>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</si>
  <si>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</si>
  <si>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</si>
  <si>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</si>
  <si>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</si>
  <si>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</si>
  <si>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</si>
  <si>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</si>
  <si>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</si>
  <si>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</si>
  <si>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</si>
  <si>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</si>
  <si>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</si>
  <si>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</si>
  <si>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</si>
  <si>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</si>
  <si>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</si>
  <si>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</si>
  <si>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</si>
  <si>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</si>
  <si>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</si>
  <si>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</si>
  <si>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</si>
  <si>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</si>
  <si>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</si>
  <si>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</si>
  <si>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</si>
  <si>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</si>
  <si>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</si>
  <si>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</si>
  <si>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</si>
  <si>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</si>
  <si>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</si>
  <si>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</si>
  <si>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</si>
  <si>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</si>
  <si>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</si>
  <si>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</si>
  <si>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</si>
  <si>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</si>
  <si>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</si>
  <si>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</si>
  <si>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</si>
  <si>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</si>
  <si>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</si>
  <si>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</si>
  <si>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</si>
  <si>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</si>
  <si>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</si>
  <si>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</si>
  <si>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</si>
  <si>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</si>
  <si>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</si>
  <si>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</si>
  <si>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</si>
  <si>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</si>
  <si>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</si>
  <si>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</si>
  <si>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</si>
  <si>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</si>
  <si>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</si>
  <si>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</si>
  <si>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</si>
  <si>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</si>
  <si>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</si>
  <si>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</si>
  <si>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</si>
  <si>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</si>
  <si>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</si>
  <si>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</si>
  <si>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</si>
  <si>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</si>
  <si>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</si>
  <si>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</si>
  <si>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</si>
  <si>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</si>
  <si>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</si>
  <si>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</si>
  <si>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</si>
  <si>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</si>
  <si>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</si>
  <si>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</si>
  <si>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</si>
  <si>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</si>
  <si>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</si>
  <si>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</si>
  <si>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</si>
  <si>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</si>
  <si>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</si>
  <si>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</si>
  <si>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</si>
  <si>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</si>
  <si>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</si>
  <si>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</si>
  <si>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</si>
  <si>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</si>
  <si>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</si>
  <si>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</si>
  <si>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</si>
  <si>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</si>
  <si>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</si>
  <si>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</si>
  <si>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</si>
  <si>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</si>
  <si>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</si>
  <si>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</si>
  <si>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</si>
  <si>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</si>
  <si>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</si>
  <si>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</si>
  <si>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</si>
  <si>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</si>
  <si>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</si>
  <si>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</si>
  <si>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</si>
  <si>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</si>
  <si>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</si>
  <si>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</si>
  <si>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</si>
  <si>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</si>
  <si>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</si>
  <si>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</si>
  <si>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</si>
  <si>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</si>
  <si>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</si>
  <si>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</si>
  <si>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</si>
  <si>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</si>
  <si>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</si>
  <si>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</si>
  <si>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</si>
  <si>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</si>
  <si>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</si>
  <si>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</si>
  <si>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</si>
  <si>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</si>
  <si>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</si>
  <si>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</si>
  <si>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</si>
  <si>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</si>
  <si>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</si>
  <si>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</si>
  <si>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</si>
  <si>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</si>
  <si>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</si>
  <si>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</si>
  <si>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</si>
  <si>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</si>
  <si>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</si>
  <si>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</si>
  <si>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</si>
  <si>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</si>
  <si>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</si>
  <si>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</si>
  <si>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</si>
  <si>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</si>
  <si>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</si>
  <si>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</si>
  <si>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</si>
  <si>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</si>
  <si>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</si>
  <si>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</si>
  <si>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</si>
  <si>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</si>
  <si>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</si>
  <si>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</si>
  <si>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</si>
  <si>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</si>
  <si>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</si>
  <si>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</si>
  <si>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</si>
  <si>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</si>
  <si>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</si>
  <si>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</si>
  <si>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</si>
  <si>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</si>
  <si>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</si>
  <si>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</si>
  <si>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</si>
  <si>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</si>
  <si>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</si>
  <si>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</si>
  <si>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</si>
  <si>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</si>
  <si>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</si>
  <si>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</si>
  <si>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</si>
  <si>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</si>
  <si>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</si>
  <si>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</si>
  <si>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</si>
  <si>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</si>
  <si>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</si>
  <si>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</si>
  <si>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</si>
  <si>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</si>
  <si>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</si>
  <si>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</si>
  <si>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</si>
  <si>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</si>
  <si>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</si>
  <si>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</si>
  <si>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</si>
  <si>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</si>
  <si>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</si>
  <si>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</si>
  <si>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</si>
  <si>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</si>
  <si>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</si>
  <si>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</si>
  <si>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</si>
  <si>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</si>
  <si>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</si>
  <si>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</si>
  <si>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</si>
  <si>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</si>
  <si>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</si>
  <si>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</si>
  <si>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</si>
  <si>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</si>
  <si>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</si>
  <si>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</si>
  <si>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</si>
  <si>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</si>
  <si>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</si>
  <si>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</si>
  <si>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</si>
  <si>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</si>
  <si>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</si>
  <si>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</si>
  <si>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</si>
  <si>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</si>
  <si>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</si>
  <si>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</si>
  <si>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</si>
  <si>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</si>
  <si>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</si>
  <si>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</si>
  <si>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</si>
  <si>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</si>
  <si>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</si>
  <si>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</si>
  <si>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</si>
  <si>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</si>
  <si>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</si>
  <si>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</si>
  <si>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</si>
  <si>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</si>
  <si>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</si>
  <si>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</si>
  <si>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</si>
  <si>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</si>
  <si>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</si>
  <si>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</si>
  <si>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</si>
  <si>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</si>
  <si>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</si>
  <si>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</si>
  <si>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</si>
  <si>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</si>
  <si>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</si>
  <si>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</si>
  <si>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</si>
  <si>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</si>
  <si>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</si>
  <si>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</si>
  <si>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</si>
  <si>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</si>
  <si>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</si>
  <si>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</si>
  <si>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</si>
  <si>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</si>
  <si>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</si>
  <si>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</si>
  <si>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</si>
  <si>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</si>
  <si>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</si>
  <si>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</si>
  <si>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</si>
  <si>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</si>
  <si>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</si>
  <si>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</si>
  <si>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</si>
  <si>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</si>
  <si>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</si>
  <si>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</si>
  <si>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</si>
  <si>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</si>
  <si>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</si>
  <si>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</si>
  <si>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</si>
  <si>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</si>
  <si>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</si>
  <si>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</si>
  <si>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</si>
  <si>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</si>
  <si>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</si>
  <si>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</si>
  <si>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</si>
  <si>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</si>
  <si>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</si>
  <si>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</si>
  <si>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</si>
  <si>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</si>
  <si>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</si>
  <si>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</si>
  <si>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</si>
  <si>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</si>
  <si>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</si>
  <si>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</si>
  <si>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</si>
  <si>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</si>
  <si>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</si>
  <si>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</si>
  <si>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</si>
  <si>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</si>
  <si>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</si>
  <si>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</si>
  <si>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</si>
  <si>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</si>
  <si>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</si>
  <si>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</si>
  <si>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</si>
  <si>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</si>
  <si>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</si>
  <si>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</si>
  <si>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</si>
  <si>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</si>
  <si>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</si>
  <si>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</si>
  <si>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</si>
  <si>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</si>
  <si>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</si>
  <si>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</si>
  <si>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</si>
  <si>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</si>
  <si>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</si>
  <si>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</si>
  <si>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</si>
  <si>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</si>
  <si>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</si>
  <si>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</si>
  <si>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</si>
  <si>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</si>
  <si>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</si>
  <si>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</si>
  <si>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</si>
  <si>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</si>
  <si>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</si>
  <si>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</si>
  <si>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</si>
  <si>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</si>
  <si>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</si>
  <si>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</si>
  <si>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</si>
  <si>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</si>
  <si>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</si>
  <si>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</si>
  <si>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</si>
  <si>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</si>
  <si>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</si>
  <si>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</si>
  <si>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</si>
  <si>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</si>
  <si>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</si>
  <si>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</si>
  <si>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</si>
  <si>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</si>
  <si>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</si>
  <si>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</si>
  <si>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</si>
  <si>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</si>
  <si>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</si>
  <si>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</si>
  <si>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</si>
  <si>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</si>
  <si>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</si>
  <si>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</si>
  <si>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</si>
  <si>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</si>
  <si>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</si>
  <si>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</si>
  <si>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</si>
  <si>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</si>
  <si>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</si>
  <si>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</si>
  <si>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</si>
  <si>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</si>
  <si>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</si>
  <si>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</si>
  <si>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</si>
  <si>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</si>
  <si>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</si>
  <si>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</si>
  <si>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</si>
  <si>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</si>
  <si>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</si>
  <si>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</si>
  <si>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</si>
  <si>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</si>
  <si>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</si>
  <si>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</si>
  <si>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</si>
  <si>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</si>
  <si>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</si>
  <si>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</si>
  <si>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</si>
  <si>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</si>
  <si>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</si>
  <si>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</si>
  <si>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</si>
  <si>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</si>
  <si>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</si>
  <si>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</si>
  <si>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</si>
  <si>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</si>
  <si>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</si>
  <si>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</si>
  <si>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</si>
  <si>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</si>
  <si>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</si>
  <si>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</si>
  <si>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</si>
  <si>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</si>
  <si>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</si>
  <si>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</si>
  <si>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</si>
  <si>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</si>
  <si>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</si>
  <si>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</si>
  <si>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</si>
  <si>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</si>
  <si>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</si>
  <si>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</si>
  <si>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</si>
  <si>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</si>
  <si>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</si>
  <si>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</si>
  <si>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</si>
  <si>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</si>
  <si>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</si>
  <si>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</si>
  <si>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</si>
  <si>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</si>
  <si>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</si>
  <si>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</si>
  <si>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</si>
  <si>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</si>
  <si>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</si>
  <si>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</si>
  <si>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</si>
  <si>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</si>
  <si>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</si>
  <si>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</si>
  <si>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</si>
  <si>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</si>
  <si>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</si>
  <si>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</si>
  <si>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</si>
  <si>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</si>
  <si>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</si>
  <si>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</si>
  <si>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</si>
  <si>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</si>
  <si>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</si>
  <si>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</si>
  <si>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</si>
  <si>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</si>
  <si>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</si>
  <si>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</si>
  <si>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</si>
  <si>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</si>
  <si>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</si>
  <si>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</si>
  <si>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</si>
  <si>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</si>
  <si>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</si>
  <si>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</si>
  <si>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</si>
  <si>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</si>
  <si>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</si>
  <si>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</si>
  <si>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</si>
  <si>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</si>
  <si>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</si>
  <si>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</si>
  <si>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</si>
  <si>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</si>
  <si>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</si>
  <si>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</si>
  <si>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</si>
  <si>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</si>
  <si>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</si>
  <si>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</si>
  <si>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</si>
  <si>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</si>
  <si>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</si>
  <si>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</si>
  <si>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</si>
  <si>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</si>
  <si>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</si>
  <si>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</si>
  <si>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</si>
  <si>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</si>
  <si>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</si>
  <si>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</si>
  <si>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</si>
  <si>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</si>
  <si>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</si>
  <si>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</si>
  <si>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</si>
  <si>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</si>
  <si>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</si>
  <si>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</si>
  <si>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</si>
  <si>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</si>
  <si>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</si>
  <si>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</si>
  <si>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</si>
  <si>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</si>
  <si>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</si>
  <si>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</si>
  <si>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</si>
  <si>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</si>
  <si>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</si>
  <si>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</si>
  <si>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</si>
  <si>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</si>
  <si>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</si>
  <si>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</si>
  <si>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</si>
  <si>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</si>
  <si>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</si>
  <si>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</si>
  <si>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</si>
  <si>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</si>
  <si>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</si>
  <si>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</si>
  <si>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</si>
  <si>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</si>
  <si>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</si>
  <si>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</si>
  <si>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</si>
  <si>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</si>
  <si>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</si>
  <si>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</si>
  <si>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</si>
  <si>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</si>
  <si>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</si>
  <si>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</si>
  <si>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</si>
  <si>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</si>
  <si>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</si>
  <si>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</si>
  <si>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</si>
  <si>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</si>
  <si>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</si>
  <si>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</si>
  <si>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</si>
  <si>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</si>
  <si>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</si>
  <si>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</si>
  <si>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</si>
  <si>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</si>
  <si>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</si>
  <si>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</si>
  <si>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</si>
  <si>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</si>
  <si>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</si>
  <si>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</si>
  <si>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</si>
  <si>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</si>
  <si>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</si>
  <si>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</si>
  <si>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</si>
  <si>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</si>
  <si>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</si>
  <si>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</si>
  <si>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</si>
  <si>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</si>
  <si>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</si>
  <si>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</si>
  <si>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</si>
  <si>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</si>
  <si>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</si>
  <si>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</si>
  <si>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</si>
  <si>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</si>
  <si>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</si>
  <si>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</si>
  <si>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</si>
  <si>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</si>
  <si>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</si>
  <si>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</si>
  <si>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</si>
  <si>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</si>
  <si>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</si>
  <si>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</si>
  <si>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</si>
  <si>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</si>
  <si>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</si>
  <si>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</si>
  <si>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</si>
  <si>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</si>
  <si>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</si>
  <si>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</si>
  <si>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</si>
  <si>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</si>
  <si>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</si>
  <si>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</si>
  <si>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</si>
  <si>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</si>
  <si>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</si>
  <si>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</si>
  <si>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</si>
  <si>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</si>
  <si>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</si>
  <si>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</si>
  <si>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</si>
  <si>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</si>
  <si>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</si>
  <si>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</si>
  <si>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</si>
  <si>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</si>
  <si>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</si>
  <si>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</si>
  <si>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</si>
  <si>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</si>
  <si>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</si>
  <si>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</si>
  <si>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</si>
  <si>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</si>
  <si>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</si>
  <si>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</si>
  <si>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</si>
  <si>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</si>
  <si>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</si>
  <si>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</si>
  <si>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</si>
  <si>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</si>
  <si>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</si>
  <si>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</si>
  <si>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</si>
  <si>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</si>
  <si>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</si>
  <si>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</si>
  <si>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</si>
  <si>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</si>
  <si>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</si>
  <si>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</si>
  <si>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</si>
  <si>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</si>
  <si>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</si>
  <si>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</si>
  <si>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</si>
  <si>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</si>
  <si>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</si>
  <si>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</si>
  <si>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</si>
  <si>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</si>
  <si>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</si>
  <si>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</si>
  <si>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</si>
  <si>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</si>
  <si>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</si>
  <si>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</si>
  <si>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</si>
  <si>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</si>
  <si>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</si>
  <si>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</si>
  <si>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</si>
  <si>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</si>
  <si>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</si>
  <si>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</si>
  <si>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</si>
  <si>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</si>
  <si>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</si>
  <si>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</si>
  <si>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</si>
  <si>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</si>
  <si>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</si>
  <si>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</si>
  <si>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</si>
  <si>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</si>
  <si>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</si>
  <si>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</si>
  <si>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</si>
  <si>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</si>
  <si>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</si>
  <si>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</si>
  <si>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</si>
  <si>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</si>
  <si>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</si>
  <si>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</si>
  <si>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</si>
  <si>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</si>
  <si>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</si>
  <si>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</si>
  <si>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</si>
  <si>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</si>
  <si>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</si>
  <si>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</si>
  <si>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</si>
  <si>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</si>
  <si>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</si>
  <si>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</si>
  <si>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</si>
  <si>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</si>
  <si>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</si>
  <si>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</si>
  <si>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</si>
  <si>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</si>
  <si>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</si>
  <si>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</si>
  <si>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</si>
  <si>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</si>
  <si>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</si>
  <si>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</si>
  <si>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</si>
  <si>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</si>
  <si>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</si>
  <si>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</si>
  <si>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</si>
  <si>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</si>
  <si>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</si>
  <si>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</si>
  <si>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</si>
  <si>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</si>
  <si>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</si>
  <si>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</si>
  <si>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</si>
  <si>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</si>
  <si>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</si>
  <si>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</si>
  <si>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</si>
  <si>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</si>
  <si>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</si>
  <si>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</si>
  <si>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</si>
  <si>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</si>
  <si>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</si>
  <si>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</si>
  <si>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</si>
  <si>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</si>
  <si>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</si>
  <si>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</si>
  <si>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</si>
  <si>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</si>
  <si>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</si>
  <si>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</si>
  <si>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</si>
  <si>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</si>
  <si>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</si>
  <si>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</si>
  <si>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</si>
  <si>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</si>
  <si>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</si>
  <si>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</si>
  <si>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</si>
  <si>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</si>
  <si>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</si>
  <si>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</si>
  <si>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</si>
  <si>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</si>
  <si>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</si>
  <si>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</si>
  <si>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</si>
  <si>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</si>
  <si>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</si>
  <si>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</si>
  <si>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</si>
  <si>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</si>
  <si>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</si>
  <si>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</si>
  <si>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</si>
  <si>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</si>
  <si>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</si>
  <si>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</si>
  <si>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</si>
  <si>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</si>
  <si>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</si>
  <si>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</si>
  <si>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</si>
  <si>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</si>
  <si>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</si>
  <si>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</si>
  <si>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</si>
  <si>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</si>
  <si>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</si>
  <si>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</si>
  <si>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</si>
  <si>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</si>
  <si>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</si>
  <si>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</si>
  <si>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</si>
  <si>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</si>
  <si>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</si>
  <si>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</si>
  <si>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</si>
  <si>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</si>
  <si>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</si>
  <si>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</si>
  <si>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</si>
  <si>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</si>
  <si>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</si>
  <si>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</si>
  <si>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</si>
  <si>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</si>
  <si>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</si>
  <si>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</si>
  <si>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</si>
  <si>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</si>
  <si>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</si>
  <si>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</si>
  <si>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</si>
  <si>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</si>
  <si>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</si>
  <si>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</si>
  <si>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</si>
  <si>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</si>
  <si>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</si>
  <si>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</si>
  <si>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</si>
  <si>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deslocamento para km de trabalho.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</si>
  <si>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</si>
  <si>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</si>
  <si>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</si>
  <si>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</si>
  <si>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</si>
  <si>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</si>
  <si>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</si>
  <si>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</si>
  <si>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</si>
  <si>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</si>
  <si>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</si>
  <si>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</si>
  <si>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</si>
  <si>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</si>
  <si>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</si>
  <si>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</si>
  <si>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</si>
  <si>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</si>
  <si>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</si>
  <si>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</si>
  <si>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</si>
  <si>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</si>
  <si>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</si>
  <si>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</si>
  <si>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</si>
  <si>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</si>
  <si>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</si>
  <si>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</si>
  <si>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</si>
  <si>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</si>
  <si>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</si>
  <si>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</si>
  <si>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</si>
  <si>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</si>
  <si>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>Execução de soldas - Condicionado à temperatura (sombra do intervalo Modernização).</t>
  </si>
  <si>
    <t>Premissas:
* Horário limite de abertura do intervalo 10h00;
* Duração de 5h30 com interdição total de ZGP1, 105ZGP1 e ZPT105 (total);
* V85 deve ser o primeiro ativo sair;
* V85 e W62 estarem prontos para partir as 07h30;
* Abertura do intervalo com bloqueios enviados em ZPT105,105ZGP1 e ZGP1;
* MC1para retorno de ativos até ZPT em ZPG1;
* Locais dos boletins: 105+000 ao 105+300 - Pare SIM e 102+800 ao 103+300 - PARE SIM;
* Chefe de Boletim: JP03 - João Pedro e SO36 - Sandro Oliveira;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</si>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</sst>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R19" activePane="bottomRight" state="frozen"/>
      <selection pane="bottomRight" activeCell="AA227" sqref="AA227:AG2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1253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1254</v>
      </c>
      <c r="BK191" s="17" t="s">
        <v>1255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1255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 t="str">
        <f t="shared" si="19"/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1256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e">
        <f t="shared" si="20"/>
        <v>#VALUE!</v>
      </c>
      <c r="BR192" s="19" t="e">
        <f t="shared" si="21"/>
        <v>#VALUE!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 t="str">
        <f t="shared" si="19"/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1257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e">
        <f t="shared" si="20"/>
        <v>#VALUE!</v>
      </c>
      <c r="BR195" s="19" t="e">
        <f t="shared" si="21"/>
        <v>#VALUE!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 t="str">
        <f t="shared" si="19"/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1257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e">
        <f t="shared" si="20"/>
        <v>#VALUE!</v>
      </c>
      <c r="BR196" s="19" t="e">
        <f t="shared" si="21"/>
        <v>#VALUE!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 t="str">
        <f t="shared" si="19"/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1257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e">
        <f t="shared" si="20"/>
        <v>#VALUE!</v>
      </c>
      <c r="BR197" s="19" t="e">
        <f t="shared" si="21"/>
        <v>#VALUE!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 t="str">
        <f t="shared" si="19"/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1257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e">
        <f t="shared" si="20"/>
        <v>#VALUE!</v>
      </c>
      <c r="BR198" s="19" t="e">
        <f t="shared" si="21"/>
        <v>#VALUE!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 t="str">
        <f t="shared" si="19"/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1258</v>
      </c>
      <c r="BK199" s="17" t="s">
        <v>1258</v>
      </c>
      <c r="BL199" s="16"/>
      <c r="BM199" s="15"/>
      <c r="BN199" s="15"/>
      <c r="BO199" s="165"/>
      <c r="BP199" s="17"/>
      <c r="BQ199" s="13" t="e">
        <f t="shared" si="20"/>
        <v>#VALUE!</v>
      </c>
      <c r="BR199" s="19" t="e">
        <f t="shared" si="21"/>
        <v>#VALUE!</v>
      </c>
      <c r="BS199" s="19">
        <f t="shared" si="22"/>
        <v>1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 t="str">
        <f t="shared" si="19"/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1256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e">
        <f t="shared" si="20"/>
        <v>#VALUE!</v>
      </c>
      <c r="BR201" s="19" t="e">
        <f t="shared" si="21"/>
        <v>#VALUE!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0.58472222222222225</v>
      </c>
      <c r="AT205" s="39"/>
      <c r="AU205" s="39"/>
      <c r="AV205" s="39"/>
      <c r="AW205" s="39"/>
      <c r="AX205" s="39"/>
      <c r="AY205" s="293" t="str">
        <f t="shared" si="19"/>
        <v>ERRO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/>
      <c r="BN205" s="15"/>
      <c r="BO205" s="165"/>
      <c r="BP205" s="17"/>
      <c r="BQ205" s="13" t="e">
        <f t="shared" si="20"/>
        <v>#VALUE!</v>
      </c>
      <c r="BR205" s="19" t="e">
        <f t="shared" si="21"/>
        <v>#VALUE!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1270</v>
      </c>
      <c r="BK210" s="17" t="s">
        <v>1269</v>
      </c>
      <c r="BL210" s="16"/>
      <c r="BM210" s="15" t="s">
        <v>692</v>
      </c>
      <c r="BN210" s="15" t="s">
        <v>692</v>
      </c>
      <c r="BO210" s="165" t="s">
        <v>692</v>
      </c>
      <c r="BP210" s="17" t="s">
        <v>1269</v>
      </c>
      <c r="BQ210" s="13" t="str">
        <f t="shared" si="20"/>
        <v>Produção e Intervalo</v>
      </c>
      <c r="BR210" s="19">
        <f t="shared" si="21"/>
        <v>0.83333333333333437</v>
      </c>
      <c r="BS210" s="19">
        <f t="shared" si="22"/>
        <v>0</v>
      </c>
      <c r="BT210" s="225" t="str">
        <f t="shared" ref="BT210:BT281" si="23">IF(BN210="","",SUBSTITUTE(BM210," ","")&amp;SUBSTITUTE(BN210," ",""))</f>
        <v>SemOportunidadeSemOportunidade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1271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1272</v>
      </c>
      <c r="BK211" s="17" t="s">
        <v>1272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1273</v>
      </c>
      <c r="BK212" s="17" t="s">
        <v>1273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1274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1275</v>
      </c>
      <c r="BK213" s="17" t="s">
        <v>1275</v>
      </c>
      <c r="BL213" s="16"/>
      <c r="BM213" s="15"/>
      <c r="BN213" s="15"/>
      <c r="BO213" s="165"/>
      <c r="BP213" s="17"/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1276</v>
      </c>
      <c r="BK214" s="17" t="s">
        <v>1277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1277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1278</v>
      </c>
      <c r="BK215" s="17" t="s">
        <v>1279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1279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1280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1281</v>
      </c>
      <c r="N224" s="204" t="s">
        <v>1282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/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1283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1284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>
      <c r="A227" s="51" t="str">
        <f t="shared" si="18"/>
        <v>V97</v>
      </c>
      <c r="B227" s="171"/>
      <c r="C227" s="8" t="str">
        <f>IF(BS_CONTROLE[[#This Row],[DATA]]="","",WEEKNUM(BS_CONTROLE[[#This Row],[DATA]]))</f>
        <v/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1111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ZEM-ZEV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320"/>
      <c r="E229" s="294"/>
      <c r="F229" s="71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320"/>
      <c r="E230" s="294"/>
      <c r="F230" s="71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EDSON (TP-719)46001</v>
      </c>
      <c r="B232" s="171">
        <v>46001</v>
      </c>
      <c r="C232" s="8">
        <f>IF(BS_CONTROLE[[#This Row],[DATA]]="","",WEEKNUM(BS_CONTROLE[[#This Row],[DATA]]))</f>
        <v>50</v>
      </c>
      <c r="D232" s="52" t="s">
        <v>584</v>
      </c>
      <c r="E232" s="294">
        <v>92</v>
      </c>
      <c r="F232" s="172" t="s">
        <v>469</v>
      </c>
      <c r="G232" s="9" t="str">
        <f>IF(D232="","*",VLOOKUP(F232,BS_ATIVIDADE[#All],3,FALSE))</f>
        <v>ALÍVIO</v>
      </c>
      <c r="H232" s="173" t="s">
        <v>317</v>
      </c>
      <c r="I232" s="173" t="s">
        <v>317</v>
      </c>
      <c r="J232" s="217">
        <v>92</v>
      </c>
      <c r="K232" s="217">
        <v>71.7</v>
      </c>
      <c r="L232" s="84" t="s">
        <v>317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2" s="173">
        <v>0.45833333333333331</v>
      </c>
      <c r="P232" s="173">
        <v>8.3333333333333329E-2</v>
      </c>
      <c r="Q232" s="84">
        <v>300</v>
      </c>
      <c r="R232" s="10" t="str">
        <f>IFERROR(_xlfn.XLOOKUP(F232, BS_ATIVIDADE[ATIVIDADE],BS_ATIVIDADE[UNIDADE] ), "*")</f>
        <v>M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261" t="s">
        <v>958</v>
      </c>
      <c r="W232" s="173" t="s">
        <v>1124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829</v>
      </c>
      <c r="AH232" s="49"/>
      <c r="AI232" s="142" t="str">
        <f>IF(BS_CONTROLE[[#This Row],[Atividade]]=0, "-", BS_CONTROLE[[#This Row],[Atividade]])</f>
        <v>PDM - ALÍVIO DE TENSÃO</v>
      </c>
      <c r="AJ232" s="9" t="str">
        <f>IF(D232="","*",VLOOKUP(AI232,BS_ATIVIDADE[#Data],3,FALSE))</f>
        <v>ALÍVIO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ZEZ-069</v>
      </c>
      <c r="AN232" s="258" t="str">
        <f>IF(BS_CONTROLE[[#This Row],[SB]]=0, "-", BS_CONTROLE[[#This Row],[SB]])</f>
        <v>K72K712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71.7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M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Moisés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>WILLIAN (TP-811)46001</v>
      </c>
      <c r="B233" s="171">
        <v>46001</v>
      </c>
      <c r="C233" s="8">
        <f>IF(BS_CONTROLE[[#This Row],[DATA]]="","",WEEKNUM(BS_CONTROLE[[#This Row],[DATA]]))</f>
        <v>50</v>
      </c>
      <c r="D233" s="52" t="s">
        <v>646</v>
      </c>
      <c r="E233" s="294">
        <v>203</v>
      </c>
      <c r="F233" s="172" t="s">
        <v>506</v>
      </c>
      <c r="G233" s="9" t="str">
        <f>IF(D233="","*",VLOOKUP(F233,BS_ATIVIDADE[#All],3,FALSE))</f>
        <v>TRILHO - SUBSTITUIÇÂO</v>
      </c>
      <c r="H233" s="173" t="s">
        <v>317</v>
      </c>
      <c r="I233" s="173" t="s">
        <v>317</v>
      </c>
      <c r="J233" s="217">
        <v>92</v>
      </c>
      <c r="K233" s="217">
        <v>85.3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3" s="173">
        <v>0.45833333333333331</v>
      </c>
      <c r="P233" s="173">
        <v>6.25E-2</v>
      </c>
      <c r="Q233" s="84">
        <v>100</v>
      </c>
      <c r="R233" s="10" t="str">
        <f>IFERROR(_xlfn.XLOOKUP(F233, BS_ATIVIDADE[ATIVIDADE],BS_ATIVIDADE[UNIDADE] ), "*")</f>
        <v>M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3" s="81" t="str">
        <f>IFERROR(_xlfn.XLOOKUP(J233, BASE_MAPA!$D$2:$D$260, BASE_MAPA!$I$2:$I$260), "ERRO")</f>
        <v>069-ZEV</v>
      </c>
      <c r="V233" s="261" t="s">
        <v>958</v>
      </c>
      <c r="W233" s="173" t="s">
        <v>994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PDM - SUBSTITUIÇÃO - TRILHO</v>
      </c>
      <c r="AJ233" s="9" t="str">
        <f>IF(D233="","*",VLOOKUP(AI233,BS_ATIVIDADE[#Data],3,FALSE))</f>
        <v>TRILHO - SUBSTITUIÇÂO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ZXW</v>
      </c>
      <c r="AN233" s="258" t="str">
        <f>IF(BS_CONTROLE[[#This Row],[SB]]=0, "-", BS_CONTROLE[[#This Row],[SB]])</f>
        <v>ZESK852</v>
      </c>
      <c r="AO233" s="259">
        <f>IF(BS_CONTROLE[[#This Row],[SUB]]=0, "-", BS_CONTROLE[[#This Row],[SUB]])</f>
        <v>92</v>
      </c>
      <c r="AP233" s="260">
        <f>IF(BS_CONTROLE[[#This Row],[KM - Inicio]]=0, "-", BS_CONTROLE[[#This Row],[KM - Inicio]])</f>
        <v>85.3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>
        <f t="shared" si="25"/>
        <v>0</v>
      </c>
      <c r="AZ233" s="14"/>
      <c r="BA233" s="72"/>
      <c r="BB233" s="10" t="str">
        <f>IFERROR(_xlfn.XLOOKUP(AI233, BS_ATIVIDADE[ATIVIDADE],BS_ATIVIDADE[UNIDADE] ), "*")</f>
        <v>M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3" s="11" t="str">
        <f>IFERROR(_xlfn.XLOOKUP(AO233, BASE_MAPA!$D$2:$D$260, BASE_MAPA!$I$2:$I$260), "ERRO")</f>
        <v>069-ZEV</v>
      </c>
      <c r="BF233" s="261" t="str">
        <f>IF(BS_CONTROLE[[#This Row],[Responsavel pelo boletim]]=0, "-", BS_CONTROLE[[#This Row],[Responsavel pelo boletim]])</f>
        <v>Moisés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Produção e Intervalo</v>
      </c>
      <c r="BR233" s="19">
        <f t="shared" si="27"/>
        <v>0</v>
      </c>
      <c r="BS233" s="19">
        <f t="shared" si="28"/>
        <v>0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HUELTON (TP-725)46001</v>
      </c>
      <c r="B234" s="171">
        <v>46001</v>
      </c>
      <c r="C234" s="8">
        <f>IF(BS_CONTROLE[[#This Row],[DATA]]="","",WEEKNUM(BS_CONTROLE[[#This Row],[DATA]]))</f>
        <v>50</v>
      </c>
      <c r="D234" s="52" t="s">
        <v>596</v>
      </c>
      <c r="E234" s="294">
        <v>90</v>
      </c>
      <c r="F234" s="172" t="s">
        <v>499</v>
      </c>
      <c r="G234" s="9" t="str">
        <f>IF(D234="","*",VLOOKUP(F234,BS_ATIVIDADE[#All],3,FALSE))</f>
        <v>SOLDA</v>
      </c>
      <c r="H234" s="173" t="s">
        <v>317</v>
      </c>
      <c r="I234" s="173" t="s">
        <v>317</v>
      </c>
      <c r="J234" s="217">
        <v>54</v>
      </c>
      <c r="K234" s="217">
        <v>103.6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4" s="173">
        <v>0.41666666666666669</v>
      </c>
      <c r="P234" s="173">
        <v>6.25E-2</v>
      </c>
      <c r="Q234" s="84">
        <v>1</v>
      </c>
      <c r="R234" s="10" t="str">
        <f>IFERROR(_xlfn.XLOOKUP(F234, BS_ATIVIDADE[ATIVIDADE],BS_ATIVIDADE[UNIDADE] ), "*")</f>
        <v>Nº DE SOLDA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ZEV</v>
      </c>
      <c r="V234" s="261" t="s">
        <v>958</v>
      </c>
      <c r="W234" s="173" t="s">
        <v>1285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317</v>
      </c>
      <c r="AH234" s="49"/>
      <c r="AI234" s="142" t="str">
        <f>IF(BS_CONTROLE[[#This Row],[Atividade]]=0, "-", BS_CONTROLE[[#This Row],[Atividade]])</f>
        <v>PDM - SOLDA</v>
      </c>
      <c r="AJ234" s="9" t="str">
        <f>IF(D234="","*",VLOOKUP(AI234,BS_ATIVIDADE[#Data],3,FALSE))</f>
        <v>SOLDA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105-ZGP</v>
      </c>
      <c r="AN234" s="258" t="str">
        <f>IF(BS_CONTROLE[[#This Row],[SB]]=0, "-", BS_CONTROLE[[#This Row],[SB]])</f>
        <v>ZGP1</v>
      </c>
      <c r="AO234" s="259">
        <f>IF(BS_CONTROLE[[#This Row],[SUB]]=0, "-", BS_CONTROLE[[#This Row],[SUB]])</f>
        <v>54</v>
      </c>
      <c r="AP234" s="260">
        <f>IF(BS_CONTROLE[[#This Row],[KM - Inicio]]=0, "-", BS_CONTROLE[[#This Row],[KM - Inicio]])</f>
        <v>103.6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Nº DE SOLDA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MOD ZGP</v>
      </c>
      <c r="B235" s="171"/>
      <c r="C235" s="8" t="str">
        <f>IF(BS_CONTROLE[[#This Row],[DATA]]="","",WEEKNUM(BS_CONTROLE[[#This Row],[DATA]]))</f>
        <v/>
      </c>
      <c r="D235" s="52" t="s">
        <v>1023</v>
      </c>
      <c r="E235" s="315">
        <v>455</v>
      </c>
      <c r="F235" s="71" t="s">
        <v>306</v>
      </c>
      <c r="G235" s="9" t="str">
        <f>IF(D235="","*",VLOOKUP(F235,BS_ATIVIDADE[#All],3,FALSE))</f>
        <v>OUTROS</v>
      </c>
      <c r="H235" s="173" t="s">
        <v>317</v>
      </c>
      <c r="I235" s="173" t="s">
        <v>317</v>
      </c>
      <c r="J235" s="217">
        <v>54</v>
      </c>
      <c r="K235" s="217">
        <v>102</v>
      </c>
      <c r="L235" s="217">
        <v>106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5" s="217" t="s">
        <v>1024</v>
      </c>
      <c r="O235" s="173">
        <v>0.33333333333333331</v>
      </c>
      <c r="P235" s="173">
        <v>0.22916666666666666</v>
      </c>
      <c r="Q235" s="217">
        <v>1</v>
      </c>
      <c r="R235" s="10" t="str">
        <f>IFERROR(_xlfn.XLOOKUP(F235, BS_ATIVIDADE[ATIVIDADE],BS_ATIVIDADE[UNIDADE] ), "*")</f>
        <v>BINÁRIO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ZEV</v>
      </c>
      <c r="V235" s="198" t="s">
        <v>1025</v>
      </c>
      <c r="W235" s="324" t="s">
        <v>1286</v>
      </c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BLOCO</v>
      </c>
      <c r="AJ235" s="9" t="str">
        <f>IF(D235="","*",VLOOKUP(AI235,BS_ATIVIDADE[#Data],3,FALSE))</f>
        <v>OUTROS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105-ZGP</v>
      </c>
      <c r="AN235" s="258" t="str">
        <f>IF(BS_CONTROLE[[#This Row],[SB]]=0, "-", BS_CONTROLE[[#This Row],[SB]])</f>
        <v>ZGP1 / 105ZGP1</v>
      </c>
      <c r="AO235" s="259">
        <f>IF(BS_CONTROLE[[#This Row],[SUB]]=0, "-", BS_CONTROLE[[#This Row],[SUB]])</f>
        <v>54</v>
      </c>
      <c r="AP235" s="260">
        <f>IF(BS_CONTROLE[[#This Row],[KM - Inicio]]=0, "-", BS_CONTROLE[[#This Row],[KM - Inicio]])</f>
        <v>102</v>
      </c>
      <c r="AQ235" s="260">
        <f>IF(BS_CONTROLE[[#This Row],[KM - Fim]]=0, "-", BS_CONTROLE[[#This Row],[KM - Fim]])</f>
        <v>106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BINÁRIO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ZEV</v>
      </c>
      <c r="BF235" s="261" t="str">
        <f>IF(BS_CONTROLE[[#This Row],[Responsavel pelo boletim]]=0, "-", BS_CONTROLE[[#This Row],[Responsavel pelo boletim]])</f>
        <v>Augusto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>V85</v>
      </c>
      <c r="B236" s="171"/>
      <c r="C236" s="8" t="str">
        <f>IF(BS_CONTROLE[[#This Row],[DATA]]="","",WEEKNUM(BS_CONTROLE[[#This Row],[DATA]]))</f>
        <v/>
      </c>
      <c r="D236" s="52" t="s">
        <v>513</v>
      </c>
      <c r="E236" s="294">
        <v>456</v>
      </c>
      <c r="F236" s="71" t="s">
        <v>448</v>
      </c>
      <c r="G236" s="9" t="str">
        <f>IF(D236="","*",VLOOKUP(F236,BS_ATIVIDADE[#All],3,FALSE))</f>
        <v>MODERNIZAÇÃO</v>
      </c>
      <c r="H236" s="173" t="s">
        <v>178</v>
      </c>
      <c r="I236" s="173" t="s">
        <v>951</v>
      </c>
      <c r="J236" s="217">
        <v>54</v>
      </c>
      <c r="K236" s="217">
        <v>103.7</v>
      </c>
      <c r="L236" s="217">
        <v>105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6" s="173">
        <v>0.30555555555555558</v>
      </c>
      <c r="P236" s="173">
        <v>6.9444444444444447E-4</v>
      </c>
      <c r="Q236" s="217">
        <v>500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ZEV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MODERNIZAÇÃO - SOCADORA</v>
      </c>
      <c r="AJ236" s="9" t="str">
        <f>IF(D236="","*",VLOOKUP(AI236,BS_ATIVIDADE[#Data],3,FALSE))</f>
        <v>MODERNIZAÇÃO</v>
      </c>
      <c r="AK236" s="258" t="str">
        <f>IF(BS_CONTROLE[[#This Row],[Local - Partida]]=0, "-", BS_CONTROLE[[#This Row],[Local - Partida]])</f>
        <v>ZPT1051</v>
      </c>
      <c r="AL236" s="258" t="str">
        <f>IF(BS_CONTROLE[[#This Row],[Local - Encerramento]]=0, "-", BS_CONTROLE[[#This Row],[Local - Encerramento]])</f>
        <v>ZPTZDR</v>
      </c>
      <c r="AM236" s="258" t="str">
        <f>IF(BS_CONTROLE[[#This Row],[Entre - Estações]]=0, "-", BS_CONTROLE[[#This Row],[Entre - Estações]])</f>
        <v>105-ZGP</v>
      </c>
      <c r="AN236" s="258" t="str">
        <f>IF(BS_CONTROLE[[#This Row],[SB]]=0, "-", BS_CONTROLE[[#This Row],[SB]])</f>
        <v>ZGP1</v>
      </c>
      <c r="AO236" s="259">
        <f>IF(BS_CONTROLE[[#This Row],[SUB]]=0, "-", BS_CONTROLE[[#This Row],[SUB]])</f>
        <v>54</v>
      </c>
      <c r="AP236" s="260">
        <f>IF(BS_CONTROLE[[#This Row],[KM - Inicio]]=0, "-", BS_CONTROLE[[#This Row],[KM - Inicio]])</f>
        <v>103.7</v>
      </c>
      <c r="AQ236" s="260">
        <f>IF(BS_CONTROLE[[#This Row],[KM - Fim]]=0, "-", BS_CONTROLE[[#This Row],[KM - Fim]])</f>
        <v>105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ZEV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>W62</v>
      </c>
      <c r="B237" s="171"/>
      <c r="C237" s="8" t="str">
        <f>IF(BS_CONTROLE[[#This Row],[DATA]]="","",WEEKNUM(BS_CONTROLE[[#This Row],[DATA]]))</f>
        <v/>
      </c>
      <c r="D237" s="52" t="s">
        <v>540</v>
      </c>
      <c r="E237" s="294">
        <v>457</v>
      </c>
      <c r="F237" s="71" t="s">
        <v>460</v>
      </c>
      <c r="G237" s="9" t="str">
        <f>IF(D237="","*",VLOOKUP(F237,BS_ATIVIDADE[#All],3,FALSE))</f>
        <v>OUTROS</v>
      </c>
      <c r="H237" s="173" t="s">
        <v>178</v>
      </c>
      <c r="I237" s="173" t="s">
        <v>951</v>
      </c>
      <c r="J237" s="217">
        <v>54</v>
      </c>
      <c r="K237" s="217">
        <v>104.3</v>
      </c>
      <c r="L237" s="217">
        <v>105.5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237" s="173">
        <v>0.3125</v>
      </c>
      <c r="P237" s="173">
        <v>6.9444444444444447E-4</v>
      </c>
      <c r="Q237" s="217">
        <v>1</v>
      </c>
      <c r="R237" s="10" t="str">
        <f>IFERROR(_xlfn.XLOOKUP(F237, BS_ATIVIDADE[ATIVIDADE],BS_ATIVIDADE[UNIDADE] ), "*")</f>
        <v>BINÁRIO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58" t="str">
        <f>IF(BS_CONTROLE[[#This Row],[Local - Partida]]=0, "-", BS_CONTROLE[[#This Row],[Local - Partida]])</f>
        <v>ZPT1051</v>
      </c>
      <c r="AL237" s="258" t="str">
        <f>IF(BS_CONTROLE[[#This Row],[Local - Encerramento]]=0, "-", BS_CONTROLE[[#This Row],[Local - Encerramento]])</f>
        <v>ZPTZDR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105ZGP1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104.3</v>
      </c>
      <c r="AQ237" s="260">
        <f>IF(BS_CONTROLE[[#This Row],[KM - Fim]]=0, "-", BS_CONTROLE[[#This Row],[KM - Fim]])</f>
        <v>105.5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BINÁRIO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>DIEGO (TF-42)46001</v>
      </c>
      <c r="B238" s="171">
        <v>46001</v>
      </c>
      <c r="C238" s="8">
        <f>IF(BS_CONTROLE[[#This Row],[DATA]]="","",WEEKNUM(BS_CONTROLE[[#This Row],[DATA]]))</f>
        <v>50</v>
      </c>
      <c r="D238" s="52" t="s">
        <v>579</v>
      </c>
      <c r="E238" s="294">
        <v>46</v>
      </c>
      <c r="F238" s="172" t="s">
        <v>395</v>
      </c>
      <c r="G238" s="9" t="str">
        <f>IF(D238="","*",VLOOKUP(F238,BS_ATIVIDADE[#All],3,FALSE))</f>
        <v>LIMPEZA LASTRO</v>
      </c>
      <c r="H238" s="173" t="s">
        <v>317</v>
      </c>
      <c r="I238" s="173" t="s">
        <v>317</v>
      </c>
      <c r="J238" s="217">
        <v>53</v>
      </c>
      <c r="K238" s="217">
        <v>115.5</v>
      </c>
      <c r="L238" s="84" t="s">
        <v>317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38" s="173">
        <v>0.45833333333333331</v>
      </c>
      <c r="P238" s="173">
        <v>8.3333333333333329E-2</v>
      </c>
      <c r="Q238" s="84">
        <v>2</v>
      </c>
      <c r="R238" s="10" t="str">
        <f>IFERROR(_xlfn.XLOOKUP(F238, BS_ATIVIDADE[ATIVIDADE],BS_ATIVIDADE[UNIDADE] ), "*")</f>
        <v>M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38" s="81" t="str">
        <f>IFERROR(_xlfn.XLOOKUP(J238, BASE_MAPA!$D$2:$D$260, BASE_MAPA!$I$2:$I$260), "ERRO")</f>
        <v>PAT-ZGM</v>
      </c>
      <c r="V238" s="261" t="s">
        <v>958</v>
      </c>
      <c r="W238" s="173" t="s">
        <v>928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LIMPEZA LASTRO</v>
      </c>
      <c r="AJ238" s="9" t="str">
        <f>IF(D238="","*",VLOOKUP(AI238,BS_ATIVIDADE[#Data],3,FALSE))</f>
        <v>LIMPEZA LASTRO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ZGM-109</v>
      </c>
      <c r="AN238" s="258" t="str">
        <f>IF(BS_CONTROLE[[#This Row],[SB]]=0, "-", BS_CONTROLE[[#This Row],[SB]])</f>
        <v>117ZGM2</v>
      </c>
      <c r="AO238" s="259">
        <f>IF(BS_CONTROLE[[#This Row],[SUB]]=0, "-", BS_CONTROLE[[#This Row],[SUB]])</f>
        <v>53</v>
      </c>
      <c r="AP238" s="260">
        <f>IF(BS_CONTROLE[[#This Row],[KM - Inicio]]=0, "-", BS_CONTROLE[[#This Row],[KM - Inicio]])</f>
        <v>115.5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M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8" s="11" t="str">
        <f>IFERROR(_xlfn.XLOOKUP(AO238, BASE_MAPA!$D$2:$D$260, BASE_MAPA!$I$2:$I$260), "ERRO")</f>
        <v>PAT-ZGM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1287</v>
      </c>
      <c r="N239" s="204" t="s">
        <v>1042</v>
      </c>
      <c r="O239" s="173">
        <v>0.375</v>
      </c>
      <c r="P239" s="173">
        <v>4.1666666666666664E-2</v>
      </c>
      <c r="Q239" s="84"/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657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e">
        <f t="shared" si="26"/>
        <v>#DIV/0!</v>
      </c>
      <c r="BR239" s="19">
        <f t="shared" si="27"/>
        <v>0</v>
      </c>
      <c r="BS239" s="19" t="e">
        <f t="shared" si="28"/>
        <v>#DIV/0!</v>
      </c>
      <c r="BT239" s="225" t="str">
        <f t="shared" si="23"/>
        <v/>
      </c>
    </row>
    <row r="240" spans="1:72">
      <c r="A240" s="51" t="str">
        <f t="shared" si="24"/>
        <v>E4146001</v>
      </c>
      <c r="B240" s="171">
        <v>46001</v>
      </c>
      <c r="C240" s="8">
        <f>IF(BS_CONTROLE[[#This Row],[DATA]]="","",WEEKNUM(BS_CONTROLE[[#This Row],[DATA]]))</f>
        <v>50</v>
      </c>
      <c r="D240" s="52" t="s">
        <v>1288</v>
      </c>
      <c r="E240" s="294">
        <v>235</v>
      </c>
      <c r="F240" s="172" t="s">
        <v>331</v>
      </c>
      <c r="G240" s="9" t="str">
        <f>IF(D240="","*",VLOOKUP(F240,BS_ATIVIDADE[#All],3,FALSE))</f>
        <v>OUTROS</v>
      </c>
      <c r="H240" s="173" t="s">
        <v>1289</v>
      </c>
      <c r="I240" s="173" t="s">
        <v>1290</v>
      </c>
      <c r="J240" s="217">
        <v>53</v>
      </c>
      <c r="K240" s="217"/>
      <c r="L240" s="84" t="s">
        <v>317</v>
      </c>
      <c r="M240" s="204" t="s">
        <v>1291</v>
      </c>
      <c r="N240" s="204" t="s">
        <v>1292</v>
      </c>
      <c r="O240" s="173">
        <v>0.33333333333333331</v>
      </c>
      <c r="P240" s="173">
        <v>4.1666666666666664E-2</v>
      </c>
      <c r="Q240" s="84">
        <v>1</v>
      </c>
      <c r="R240" s="10" t="str">
        <f>IFERROR(_xlfn.XLOOKUP(F240, BS_ATIVIDADE[ATIVIDADE],BS_ATIVIDADE[UNIDADE] ), "*")</f>
        <v>BINÁRIO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PAT-ZGM</v>
      </c>
      <c r="V240" s="198" t="s">
        <v>1259</v>
      </c>
      <c r="W240" s="173"/>
      <c r="X240" s="218" t="s">
        <v>662</v>
      </c>
      <c r="Y240" s="158"/>
      <c r="Z240" s="158"/>
      <c r="AA240" s="84">
        <v>2</v>
      </c>
      <c r="AB240" s="71" t="s">
        <v>659</v>
      </c>
      <c r="AC240" s="71" t="s">
        <v>660</v>
      </c>
      <c r="AD240" s="173">
        <v>0.33333333333333331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58" t="str">
        <f>IF(BS_CONTROLE[[#This Row],[Local - Partida]]=0, "-", BS_CONTROLE[[#This Row],[Local - Partida]])</f>
        <v>IBA</v>
      </c>
      <c r="AL240" s="258" t="str">
        <f>IF(BS_CONTROLE[[#This Row],[Local - Encerramento]]=0, "-", BS_CONTROLE[[#This Row],[Local - Encerramento]])</f>
        <v>ZTP</v>
      </c>
      <c r="AM240" s="258" t="str">
        <f>IF(BS_CONTROLE[[#This Row],[Entre - Estações]]=0, "-", BS_CONTROLE[[#This Row],[Entre - Estações]])</f>
        <v>IBA-ZPT</v>
      </c>
      <c r="AN240" s="258" t="str">
        <f>IF(BS_CONTROLE[[#This Row],[SB]]=0, "-", BS_CONTROLE[[#This Row],[SB]])</f>
        <v>IBAZPT</v>
      </c>
      <c r="AO240" s="259">
        <f>IF(BS_CONTROLE[[#This Row],[SUB]]=0, "-", BS_CONTROLE[[#This Row],[SUB]])</f>
        <v>53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BINÁRIO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PCM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38:Q450 O216:Q23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40:Y450 W239:Y239 V222:Y226 V228:Y238 X227:Y22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8:AD450 Z227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39 V227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0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 D235 D237" name="Range1_14_1_1_1_2"/>
    <protectedRange sqref="F46 F48 F125 F127 F235 F237" name="Range1_14_1_2_1_2"/>
    <protectedRange sqref="J48 J127 J237" name="Range1_16_2_2"/>
    <protectedRange sqref="O48:Q48 O127:Q127 O237:Q237" name="Range1_17_2_2"/>
    <protectedRange sqref="J46 J125 J235" name="Range1_16_2_3"/>
    <protectedRange sqref="O46:Q46 O125:Q125 O235:Q23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1293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1294</v>
      </c>
      <c r="C4" s="331" t="s">
        <v>1295</v>
      </c>
      <c r="D4" s="331" t="s">
        <v>1296</v>
      </c>
      <c r="E4" s="331" t="s">
        <v>1297</v>
      </c>
      <c r="F4" s="331" t="s">
        <v>8</v>
      </c>
      <c r="G4" s="331" t="s">
        <v>1298</v>
      </c>
    </row>
    <row r="5" spans="2:8">
      <c r="B5" s="334" t="s">
        <v>1147</v>
      </c>
      <c r="C5" s="334">
        <v>314978</v>
      </c>
      <c r="D5" s="334" t="s">
        <v>1299</v>
      </c>
      <c r="E5" s="334" t="s">
        <v>537</v>
      </c>
      <c r="F5" s="334" t="s">
        <v>101</v>
      </c>
      <c r="G5" s="335">
        <v>46143</v>
      </c>
    </row>
    <row r="6" spans="2:8">
      <c r="B6" s="334" t="s">
        <v>1300</v>
      </c>
      <c r="C6" s="334">
        <v>256790</v>
      </c>
      <c r="D6" s="334" t="s">
        <v>1301</v>
      </c>
      <c r="E6" s="334" t="s">
        <v>537</v>
      </c>
      <c r="F6" s="334" t="s">
        <v>1302</v>
      </c>
      <c r="G6" s="335">
        <v>45992</v>
      </c>
    </row>
    <row r="7" spans="2:8">
      <c r="B7" s="334" t="s">
        <v>1303</v>
      </c>
      <c r="C7" s="334">
        <v>265193</v>
      </c>
      <c r="D7" s="334" t="s">
        <v>1304</v>
      </c>
      <c r="E7" s="334" t="s">
        <v>538</v>
      </c>
      <c r="F7" s="334" t="s">
        <v>1305</v>
      </c>
      <c r="G7" s="334" t="s">
        <v>1306</v>
      </c>
    </row>
    <row r="8" spans="2:8">
      <c r="B8" s="334" t="s">
        <v>1307</v>
      </c>
      <c r="C8" s="334">
        <v>293716</v>
      </c>
      <c r="D8" s="334" t="s">
        <v>1308</v>
      </c>
      <c r="E8" s="334" t="s">
        <v>538</v>
      </c>
      <c r="F8" s="334" t="s">
        <v>1305</v>
      </c>
      <c r="G8" s="335">
        <v>46204</v>
      </c>
    </row>
    <row r="9" spans="2:8">
      <c r="B9" s="334" t="s">
        <v>1309</v>
      </c>
      <c r="C9" s="334">
        <v>257258</v>
      </c>
      <c r="D9" s="334" t="s">
        <v>1310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1311</v>
      </c>
      <c r="C10" s="334">
        <v>371147</v>
      </c>
      <c r="D10" s="334" t="s">
        <v>1312</v>
      </c>
      <c r="E10" s="334" t="s">
        <v>539</v>
      </c>
      <c r="F10" s="334" t="s">
        <v>144</v>
      </c>
      <c r="G10" s="334" t="s">
        <v>1306</v>
      </c>
    </row>
    <row r="11" spans="2:8">
      <c r="B11" s="334" t="s">
        <v>1313</v>
      </c>
      <c r="C11" s="334">
        <v>259230</v>
      </c>
      <c r="D11" s="334" t="s">
        <v>1314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1315</v>
      </c>
      <c r="C12" s="334">
        <v>370705</v>
      </c>
      <c r="D12" s="334"/>
      <c r="E12" s="334" t="s">
        <v>539</v>
      </c>
      <c r="F12" s="334" t="s">
        <v>144</v>
      </c>
      <c r="G12" s="334" t="s">
        <v>1306</v>
      </c>
    </row>
    <row r="13" spans="2:8">
      <c r="B13" s="334" t="s">
        <v>1316</v>
      </c>
      <c r="C13" s="334">
        <v>258542</v>
      </c>
      <c r="D13" s="334" t="s">
        <v>1317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1318</v>
      </c>
      <c r="C14" s="334">
        <v>257050</v>
      </c>
      <c r="D14" s="334" t="s">
        <v>1319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1321</v>
      </c>
      <c r="E3" s="326" t="s">
        <v>1322</v>
      </c>
      <c r="F3" s="326" t="s">
        <v>1323</v>
      </c>
      <c r="G3" s="331" t="s">
        <v>1324</v>
      </c>
      <c r="H3" s="326" t="s">
        <v>1325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1326</v>
      </c>
      <c r="H4" s="329"/>
    </row>
    <row r="5" spans="3:8" ht="29.25">
      <c r="C5" s="327" t="s">
        <v>537</v>
      </c>
      <c r="D5" s="327" t="s">
        <v>1327</v>
      </c>
      <c r="E5" s="328">
        <v>46000</v>
      </c>
      <c r="F5" s="327">
        <v>9000</v>
      </c>
      <c r="G5" s="332" t="s">
        <v>1328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1329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1330</v>
      </c>
      <c r="G7" s="333" t="s">
        <v>1331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1332</v>
      </c>
      <c r="H8" s="327"/>
    </row>
    <row r="9" spans="3:8">
      <c r="C9" s="327" t="s">
        <v>464</v>
      </c>
      <c r="D9" s="327" t="s">
        <v>1333</v>
      </c>
      <c r="E9" s="328">
        <v>45993</v>
      </c>
      <c r="F9" s="327">
        <v>12000</v>
      </c>
      <c r="G9" s="332" t="s">
        <v>1334</v>
      </c>
      <c r="H9" s="327"/>
    </row>
    <row r="10" spans="3:8" ht="29.25">
      <c r="C10" s="327" t="s">
        <v>464</v>
      </c>
      <c r="D10" s="327" t="s">
        <v>1335</v>
      </c>
      <c r="E10" s="328">
        <v>45993</v>
      </c>
      <c r="F10" s="327">
        <v>9000</v>
      </c>
      <c r="G10" s="332" t="s">
        <v>1336</v>
      </c>
      <c r="H10" s="327"/>
    </row>
    <row r="11" spans="3:8" ht="29.25">
      <c r="C11" s="327" t="s">
        <v>464</v>
      </c>
      <c r="D11" s="327" t="s">
        <v>1337</v>
      </c>
      <c r="E11" s="328">
        <v>45993</v>
      </c>
      <c r="F11" s="327">
        <v>10000</v>
      </c>
      <c r="G11" s="332" t="s">
        <v>1336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1338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1339</v>
      </c>
      <c r="W1" s="396"/>
      <c r="X1" s="396"/>
      <c r="Y1" s="104"/>
    </row>
    <row r="2" spans="1:25" s="101" customFormat="1" ht="11.25" customHeight="1">
      <c r="A2" s="105" t="s">
        <v>1340</v>
      </c>
      <c r="B2" s="105" t="s">
        <v>1341</v>
      </c>
      <c r="C2" s="105" t="s">
        <v>313</v>
      </c>
      <c r="D2" s="106" t="s">
        <v>869</v>
      </c>
      <c r="E2" s="106" t="s">
        <v>870</v>
      </c>
      <c r="F2" s="106" t="s">
        <v>1342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1343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*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 t="str">
        <f>IF(SP_SUL!B227="","*",SP_SUL!B227)</f>
        <v>*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ZEM-ZEV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1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59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EDSON (TP-719)</v>
      </c>
      <c r="H230" s="110" t="str">
        <f>IF(SP_SUL!F232="","*",SP_SUL!F232)</f>
        <v>PDM - ALÍVIO DE TENSÃO</v>
      </c>
      <c r="I230" s="110" t="str">
        <f>IF(SP_SUL!H232="","*",SP_SUL!H232)</f>
        <v>-</v>
      </c>
      <c r="J230" s="110" t="str">
        <f>IF(SP_SUL!I232="","*",SP_SUL!I232)</f>
        <v>-</v>
      </c>
      <c r="K230" s="110" t="str">
        <f>IF(SP_SUL!M232="","*",SP_SUL!M232)</f>
        <v>ZEZ-069</v>
      </c>
      <c r="L230" s="339" t="str">
        <f>IF(SP_SUL!N232="","*",SP_SUL!N232)</f>
        <v>K72K712</v>
      </c>
      <c r="M230" s="111">
        <f>IF(SP_SUL!J232="","*",SP_SUL!J232)</f>
        <v>92</v>
      </c>
      <c r="N230" s="270">
        <f>IF(SP_SUL!K232="","*",SP_SUL!K232)</f>
        <v>71.7</v>
      </c>
      <c r="O230" s="270" t="str">
        <f>IF(SP_SUL!L232="","*",SP_SUL!L232)</f>
        <v>-</v>
      </c>
      <c r="P230" s="111"/>
      <c r="Q230" s="128">
        <f>IF(SP_SUL!O232="","*",SP_SUL!O232)</f>
        <v>0.45833333333333331</v>
      </c>
      <c r="R230" s="128">
        <f>IF(SP_SUL!P232="","*",SP_SUL!P232)</f>
        <v>8.3333333333333329E-2</v>
      </c>
      <c r="S230" s="110" t="str">
        <f>IF(SP_SUL!Q232="","*",CONCATENATE(SP_SUL!Q232," ",SP_SUL!R232))</f>
        <v>300 M</v>
      </c>
      <c r="T230" s="110" t="str">
        <f>IF(SP_SUL!V232="","*",SP_SUL!V232)</f>
        <v>Moisés</v>
      </c>
      <c r="U230" s="110" t="str">
        <f>IF(SP_SUL!W232="","*",SP_SUL!W232)</f>
        <v>Alívio de tensão - Condicionado à temperatura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ZEV-ZPT</v>
      </c>
      <c r="F231" s="110">
        <f>IF(SP_SUL!B233="","*",SP_SUL!B233)</f>
        <v>46001</v>
      </c>
      <c r="G231" s="110" t="str">
        <f>IF(SP_SUL!D233="","*",SP_SUL!D233)</f>
        <v>WILLIAN (TP-811)</v>
      </c>
      <c r="H231" s="110" t="str">
        <f>IF(SP_SUL!F233="","*",SP_SUL!F233)</f>
        <v>PDM - SUBSTITUIÇÃO - TRILHO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ZXW</v>
      </c>
      <c r="L231" s="339" t="str">
        <f>IF(SP_SUL!N233="","*",SP_SUL!N233)</f>
        <v>ZESK852</v>
      </c>
      <c r="M231" s="111">
        <f>IF(SP_SUL!J233="","*",SP_SUL!J233)</f>
        <v>92</v>
      </c>
      <c r="N231" s="270">
        <f>IF(SP_SUL!K233="","*",SP_SUL!K233)</f>
        <v>85.3</v>
      </c>
      <c r="O231" s="270" t="str">
        <f>IF(SP_SUL!L233="","*",SP_SUL!L233)</f>
        <v>-</v>
      </c>
      <c r="P231" s="111"/>
      <c r="Q231" s="128">
        <f>IF(SP_SUL!O233="","*",SP_SUL!O233)</f>
        <v>0.45833333333333331</v>
      </c>
      <c r="R231" s="128">
        <f>IF(SP_SUL!P233="","*",SP_SUL!P233)</f>
        <v>6.25E-2</v>
      </c>
      <c r="S231" s="110" t="str">
        <f>IF(SP_SUL!Q233="","*",CONCATENATE(SP_SUL!Q233," ",SP_SUL!R233))</f>
        <v>100 M</v>
      </c>
      <c r="T231" s="110" t="str">
        <f>IF(SP_SUL!V233="","*",SP_SUL!V233)</f>
        <v>Moisés</v>
      </c>
      <c r="U231" s="110" t="str">
        <f>IF(SP_SUL!W233="","*",SP_SUL!W233)</f>
        <v>PDM - Substituição de trilho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HUELTON (TP-725)</v>
      </c>
      <c r="H232" s="110" t="str">
        <f>IF(SP_SUL!F234="","*",SP_SUL!F234)</f>
        <v>PDM - SOLDA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105-ZGP</v>
      </c>
      <c r="L232" s="339" t="str">
        <f>IF(SP_SUL!N234="","*",SP_SUL!N234)</f>
        <v>ZGP1</v>
      </c>
      <c r="M232" s="111">
        <f>IF(SP_SUL!J234="","*",SP_SUL!J234)</f>
        <v>54</v>
      </c>
      <c r="N232" s="270">
        <f>IF(SP_SUL!K234="","*",SP_SUL!K234)</f>
        <v>103.6</v>
      </c>
      <c r="O232" s="270" t="str">
        <f>IF(SP_SUL!L234="","*",SP_SUL!L234)</f>
        <v>-</v>
      </c>
      <c r="P232" s="111"/>
      <c r="Q232" s="128">
        <f>IF(SP_SUL!O234="","*",SP_SUL!O234)</f>
        <v>0.41666666666666669</v>
      </c>
      <c r="R232" s="128">
        <f>IF(SP_SUL!P234="","*",SP_SUL!P234)</f>
        <v>6.25E-2</v>
      </c>
      <c r="S232" s="110" t="str">
        <f>IF(SP_SUL!Q234="","*",CONCATENATE(SP_SUL!Q234," ",SP_SUL!R234))</f>
        <v>1 Nº DE SOLDA</v>
      </c>
      <c r="T232" s="110" t="str">
        <f>IF(SP_SUL!V234="","*",SP_SUL!V234)</f>
        <v>Moisés</v>
      </c>
      <c r="U232" s="110" t="str">
        <f>IF(SP_SUL!W234="","*",SP_SUL!W234)</f>
        <v>Execução de soldas - Condicionado à temperatura (sombra do intervalo Modernização).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 t="str">
        <f>IF(SP_SUL!B235="","*",SP_SUL!B235)</f>
        <v>*</v>
      </c>
      <c r="G233" s="110" t="str">
        <f>IF(SP_SUL!D235="","*",SP_SUL!D235)</f>
        <v>MOD ZGP</v>
      </c>
      <c r="H233" s="110" t="str">
        <f>IF(SP_SUL!F235="","*",SP_SUL!F235)</f>
        <v>BLOCO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105-ZGP</v>
      </c>
      <c r="L233" s="339" t="str">
        <f>IF(SP_SUL!N235="","*",SP_SUL!N235)</f>
        <v>ZGP1 / 105ZGP1</v>
      </c>
      <c r="M233" s="111">
        <f>IF(SP_SUL!J235="","*",SP_SUL!J235)</f>
        <v>54</v>
      </c>
      <c r="N233" s="270">
        <f>IF(SP_SUL!K235="","*",SP_SUL!K235)</f>
        <v>102</v>
      </c>
      <c r="O233" s="270">
        <f>IF(SP_SUL!L235="","*",SP_SUL!L235)</f>
        <v>106</v>
      </c>
      <c r="P233" s="111"/>
      <c r="Q233" s="128">
        <f>IF(SP_SUL!O235="","*",SP_SUL!O235)</f>
        <v>0.33333333333333331</v>
      </c>
      <c r="R233" s="128">
        <f>IF(SP_SUL!P235="","*",SP_SUL!P235)</f>
        <v>0.22916666666666666</v>
      </c>
      <c r="S233" s="110" t="str">
        <f>IF(SP_SUL!Q235="","*",CONCATENATE(SP_SUL!Q235," ",SP_SUL!R235))</f>
        <v>1 BINÁRIO</v>
      </c>
      <c r="T233" s="110" t="str">
        <f>IF(SP_SUL!V235="","*",SP_SUL!V235)</f>
        <v>Augusto</v>
      </c>
      <c r="U233" s="110" t="str">
        <f>IF(SP_SUL!W235="","*",SP_SUL!W235)</f>
        <v>Premissas:
* Horário limite de abertura do intervalo 10h00;
* Duração de 5h30 com interdição total de ZGP1, 105ZGP1 e ZPT105 (total);
* V85 deve ser o primeiro ativo sair;
* V85 e W62 estarem prontos para partir as 07h30;
* Abertura do intervalo com bloqueios enviados em ZPT105,105ZGP1 e ZGP1;
* MC1para retorno de ativos até ZPT em ZPG1;
* Locais dos boletins: 105+000 ao 105+300 - Pare SIM e 102+800 ao 103+300 - PARE SIM;
* Chefe de Boletim: JP03 - João Pedro e SO36 - Sandro Oliveira;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 t="str">
        <f>IF(SP_SUL!B236="","*",SP_SUL!B236)</f>
        <v>*</v>
      </c>
      <c r="G234" s="110" t="str">
        <f>IF(SP_SUL!D236="","*",SP_SUL!D236)</f>
        <v>V85</v>
      </c>
      <c r="H234" s="110" t="str">
        <f>IF(SP_SUL!F236="","*",SP_SUL!F236)</f>
        <v>MODERNIZAÇÃO - SOCADORA</v>
      </c>
      <c r="I234" s="110" t="str">
        <f>IF(SP_SUL!H236="","*",SP_SUL!H236)</f>
        <v>ZPT1051</v>
      </c>
      <c r="J234" s="110" t="str">
        <f>IF(SP_SUL!I236="","*",SP_SUL!I236)</f>
        <v>ZPTZDR</v>
      </c>
      <c r="K234" s="110" t="str">
        <f>IF(SP_SUL!M236="","*",SP_SUL!M236)</f>
        <v>105-ZGP</v>
      </c>
      <c r="L234" s="339" t="str">
        <f>IF(SP_SUL!N236="","*",SP_SUL!N236)</f>
        <v>ZGP1</v>
      </c>
      <c r="M234" s="111">
        <f>IF(SP_SUL!J236="","*",SP_SUL!J236)</f>
        <v>54</v>
      </c>
      <c r="N234" s="270">
        <f>IF(SP_SUL!K236="","*",SP_SUL!K236)</f>
        <v>103.7</v>
      </c>
      <c r="O234" s="270">
        <f>IF(SP_SUL!L236="","*",SP_SUL!L236)</f>
        <v>105</v>
      </c>
      <c r="P234" s="111"/>
      <c r="Q234" s="128">
        <f>IF(SP_SUL!O236="","*",SP_SUL!O236)</f>
        <v>0.30555555555555558</v>
      </c>
      <c r="R234" s="128">
        <f>IF(SP_SUL!P236="","*",SP_SUL!P236)</f>
        <v>6.9444444444444447E-4</v>
      </c>
      <c r="S234" s="110" t="str">
        <f>IF(SP_SUL!Q236="","*",CONCATENATE(SP_SUL!Q236," ",SP_SUL!R236))</f>
        <v>500 M</v>
      </c>
      <c r="T234" s="110" t="str">
        <f>IF(SP_SUL!V236="","*",SP_SUL!V236)</f>
        <v>*</v>
      </c>
      <c r="U234" s="110" t="str">
        <f>IF(SP_SUL!W236="","*",SP_SUL!W236)</f>
        <v>*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 t="str">
        <f>IF(SP_SUL!B237="","*",SP_SUL!B237)</f>
        <v>*</v>
      </c>
      <c r="G235" s="110" t="str">
        <f>IF(SP_SUL!D237="","*",SP_SUL!D237)</f>
        <v>W62</v>
      </c>
      <c r="H235" s="110" t="str">
        <f>IF(SP_SUL!F237="","*",SP_SUL!F237)</f>
        <v>OUTRAS ATIVIDADES</v>
      </c>
      <c r="I235" s="110" t="str">
        <f>IF(SP_SUL!H237="","*",SP_SUL!H237)</f>
        <v>ZPT1051</v>
      </c>
      <c r="J235" s="110" t="str">
        <f>IF(SP_SUL!I237="","*",SP_SUL!I237)</f>
        <v>ZPTZDR</v>
      </c>
      <c r="K235" s="110" t="str">
        <f>IF(SP_SUL!M237="","*",SP_SUL!M237)</f>
        <v>105-ZGP</v>
      </c>
      <c r="L235" s="339" t="str">
        <f>IF(SP_SUL!N237="","*",SP_SUL!N237)</f>
        <v>105ZGP1</v>
      </c>
      <c r="M235" s="111">
        <f>IF(SP_SUL!J237="","*",SP_SUL!J237)</f>
        <v>54</v>
      </c>
      <c r="N235" s="270">
        <f>IF(SP_SUL!K237="","*",SP_SUL!K237)</f>
        <v>104.3</v>
      </c>
      <c r="O235" s="270">
        <f>IF(SP_SUL!L237="","*",SP_SUL!L237)</f>
        <v>105.5</v>
      </c>
      <c r="P235" s="111"/>
      <c r="Q235" s="128">
        <f>IF(SP_SUL!O237="","*",SP_SUL!O237)</f>
        <v>0.3125</v>
      </c>
      <c r="R235" s="128">
        <f>IF(SP_SUL!P237="","*",SP_SUL!P237)</f>
        <v>6.9444444444444447E-4</v>
      </c>
      <c r="S235" s="110" t="str">
        <f>IF(SP_SUL!Q237="","*",CONCATENATE(SP_SUL!Q237," ",SP_SUL!R237))</f>
        <v>1 BINÁRIO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ZPT-ZPG</v>
      </c>
      <c r="F236" s="110">
        <f>IF(SP_SUL!B238="","*",SP_SUL!B238)</f>
        <v>46001</v>
      </c>
      <c r="G236" s="110" t="str">
        <f>IF(SP_SUL!D238="","*",SP_SUL!D238)</f>
        <v>DIEGO (TF-42)</v>
      </c>
      <c r="H236" s="110" t="str">
        <f>IF(SP_SUL!F238="","*",SP_SUL!F238)</f>
        <v>LIMPEZA LASTRO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ZGM-109</v>
      </c>
      <c r="L236" s="339" t="str">
        <f>IF(SP_SUL!N238="","*",SP_SUL!N238)</f>
        <v>117ZGM2</v>
      </c>
      <c r="M236" s="111">
        <f>IF(SP_SUL!J238="","*",SP_SUL!J238)</f>
        <v>53</v>
      </c>
      <c r="N236" s="270">
        <f>IF(SP_SUL!K238="","*",SP_SUL!K238)</f>
        <v>115.5</v>
      </c>
      <c r="O236" s="270" t="str">
        <f>IF(SP_SUL!L238="","*",SP_SUL!L238)</f>
        <v>-</v>
      </c>
      <c r="P236" s="111"/>
      <c r="Q236" s="128">
        <f>IF(SP_SUL!O238="","*",SP_SUL!O238)</f>
        <v>0.45833333333333331</v>
      </c>
      <c r="R236" s="128">
        <f>IF(SP_SUL!P238="","*",SP_SUL!P238)</f>
        <v>8.3333333333333329E-2</v>
      </c>
      <c r="S236" s="110" t="str">
        <f>IF(SP_SUL!Q238="","*",CONCATENATE(SP_SUL!Q238," ",SP_SUL!R238))</f>
        <v>2 M</v>
      </c>
      <c r="T236" s="110" t="str">
        <f>IF(SP_SUL!V238="","*",SP_SUL!V238)</f>
        <v>Moisés</v>
      </c>
      <c r="U236" s="110" t="str">
        <f>IF(SP_SUL!W238="","*",SP_SUL!W238)</f>
        <v xml:space="preserve">Limpeza de lastro 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Contrato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*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>
        <f>IF(SP_SUL!B240="","*",SP_SUL!B240)</f>
        <v>46001</v>
      </c>
      <c r="G238" s="110" t="str">
        <f>IF(SP_SUL!D240="","*",SP_SUL!D240)</f>
        <v>E41</v>
      </c>
      <c r="H238" s="110" t="str">
        <f>IF(SP_SUL!F240="","*",SP_SUL!F240)</f>
        <v>DESLOCAMENTO</v>
      </c>
      <c r="I238" s="110" t="str">
        <f>IF(SP_SUL!H240="","*",SP_SUL!H240)</f>
        <v>IBA</v>
      </c>
      <c r="J238" s="110" t="str">
        <f>IF(SP_SUL!I240="","*",SP_SUL!I240)</f>
        <v>ZTP</v>
      </c>
      <c r="K238" s="110" t="str">
        <f>IF(SP_SUL!M240="","*",SP_SUL!M240)</f>
        <v>IBA-ZPT</v>
      </c>
      <c r="L238" s="339" t="str">
        <f>IF(SP_SUL!N240="","*",SP_SUL!N240)</f>
        <v>IBAZPT</v>
      </c>
      <c r="M238" s="111">
        <f>IF(SP_SUL!J240="","*",SP_SUL!J240)</f>
        <v>53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>
        <f>IF(SP_SUL!O240="","*",SP_SUL!O240)</f>
        <v>0.33333333333333331</v>
      </c>
      <c r="R238" s="128">
        <f>IF(SP_SUL!P240="","*",SP_SUL!P240)</f>
        <v>4.1666666666666664E-2</v>
      </c>
      <c r="S238" s="110" t="str">
        <f>IF(SP_SUL!Q240="","*",CONCATENATE(SP_SUL!Q240," ",SP_SUL!R240))</f>
        <v>1 BINÁRIO</v>
      </c>
      <c r="T238" s="110" t="str">
        <f>IF(SP_SUL!V240="","*",SP_SUL!V240)</f>
        <v>PCM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1344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1345</v>
      </c>
      <c r="D5" s="398"/>
      <c r="E5" s="398"/>
      <c r="F5" s="398"/>
      <c r="G5" s="398"/>
      <c r="H5" s="398"/>
      <c r="I5" s="398"/>
      <c r="J5" s="399"/>
      <c r="K5" s="400" t="s">
        <v>1346</v>
      </c>
      <c r="L5" s="401"/>
      <c r="M5" s="401"/>
      <c r="N5" s="401"/>
      <c r="O5" s="402" t="s">
        <v>1347</v>
      </c>
      <c r="P5" s="403"/>
      <c r="Q5" s="404"/>
    </row>
    <row r="6" spans="1:17" s="94" customFormat="1" ht="15.75" customHeight="1">
      <c r="A6" s="88" t="s">
        <v>1342</v>
      </c>
      <c r="B6" s="95" t="s">
        <v>1341</v>
      </c>
      <c r="C6" s="96" t="s">
        <v>869</v>
      </c>
      <c r="D6" s="97" t="s">
        <v>870</v>
      </c>
      <c r="E6" s="96" t="s">
        <v>1348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1349</v>
      </c>
      <c r="M6" s="139" t="s">
        <v>335</v>
      </c>
      <c r="N6" s="140" t="s">
        <v>864</v>
      </c>
      <c r="O6" s="246" t="s">
        <v>907</v>
      </c>
      <c r="P6" s="157"/>
      <c r="Q6" s="193" t="s">
        <v>1350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EDSON (TP-719)</v>
      </c>
      <c r="F232" s="100" t="str">
        <f>IF(SP_SUL!H232="","*",SP_SUL!H232)</f>
        <v>-</v>
      </c>
      <c r="G232" s="100" t="str">
        <f>IF(SP_SUL!M232="","*",SP_SUL!M232)</f>
        <v>ZEZ-069</v>
      </c>
      <c r="H232" s="154">
        <f>IF(SP_SUL!K232="","*",SP_SUL!K232)</f>
        <v>71.7</v>
      </c>
      <c r="I232" s="132">
        <f>IF(SP_SUL!O232="","*",SP_SUL!O232)</f>
        <v>0.45833333333333331</v>
      </c>
      <c r="J232" s="132">
        <f>IF(SP_SUL!P232="","*",SP_SUL!P232)</f>
        <v>8.3333333333333329E-2</v>
      </c>
      <c r="K232" s="141" t="str">
        <f>IF(SP_SUL!AK232="","*",SP_SUL!AK232)</f>
        <v>-</v>
      </c>
      <c r="L232" s="141" t="str">
        <f>IF(SP_SUL!AM232="","*",SP_SUL!AM232)</f>
        <v>ZEZ-069</v>
      </c>
      <c r="M232" s="141">
        <f>IF(SP_SUL!AP232="","*",SP_SUL!AP232)</f>
        <v>71.7</v>
      </c>
      <c r="N232" s="141" t="str">
        <f>IF(SP_SUL!AM232="","*",SP_SUL!AM232)</f>
        <v>ZEZ-069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ZEV-ZPT</v>
      </c>
      <c r="E233" s="100" t="str">
        <f>IF(SP_SUL!D233="","*",SP_SUL!D233)</f>
        <v>WILLIAN (TP-811)</v>
      </c>
      <c r="F233" s="100" t="str">
        <f>IF(SP_SUL!H233="","*",SP_SUL!H233)</f>
        <v>-</v>
      </c>
      <c r="G233" s="100" t="str">
        <f>IF(SP_SUL!M233="","*",SP_SUL!M233)</f>
        <v>ZXW</v>
      </c>
      <c r="H233" s="154">
        <f>IF(SP_SUL!K233="","*",SP_SUL!K233)</f>
        <v>85.3</v>
      </c>
      <c r="I233" s="132">
        <f>IF(SP_SUL!O233="","*",SP_SUL!O233)</f>
        <v>0.45833333333333331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ZXW</v>
      </c>
      <c r="M233" s="141">
        <f>IF(SP_SUL!AP233="","*",SP_SUL!AP233)</f>
        <v>85.3</v>
      </c>
      <c r="N233" s="141" t="str">
        <f>IF(SP_SUL!AM233="","*",SP_SUL!AM233)</f>
        <v>ZXW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HUELTON (TP-725)</v>
      </c>
      <c r="F234" s="100" t="str">
        <f>IF(SP_SUL!H234="","*",SP_SUL!H234)</f>
        <v>-</v>
      </c>
      <c r="G234" s="100" t="str">
        <f>IF(SP_SUL!M234="","*",SP_SUL!M234)</f>
        <v>105-ZGP</v>
      </c>
      <c r="H234" s="154">
        <f>IF(SP_SUL!K234="","*",SP_SUL!K234)</f>
        <v>103.6</v>
      </c>
      <c r="I234" s="132">
        <f>IF(SP_SUL!O234="","*",SP_SUL!O234)</f>
        <v>0.41666666666666669</v>
      </c>
      <c r="J234" s="132">
        <f>IF(SP_SUL!P234="","*",SP_SUL!P234)</f>
        <v>6.25E-2</v>
      </c>
      <c r="K234" s="141" t="str">
        <f>IF(SP_SUL!AK234="","*",SP_SUL!AK234)</f>
        <v>-</v>
      </c>
      <c r="L234" s="141" t="str">
        <f>IF(SP_SUL!AM234="","*",SP_SUL!AM234)</f>
        <v>105-ZGP</v>
      </c>
      <c r="M234" s="141">
        <f>IF(SP_SUL!AP234="","*",SP_SUL!AP234)</f>
        <v>103.6</v>
      </c>
      <c r="N234" s="141" t="str">
        <f>IF(SP_SUL!AM234="","*",SP_SUL!AM234)</f>
        <v>105-ZGP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MOD ZGP</v>
      </c>
      <c r="F235" s="100" t="str">
        <f>IF(SP_SUL!H235="","*",SP_SUL!H235)</f>
        <v>-</v>
      </c>
      <c r="G235" s="100" t="str">
        <f>IF(SP_SUL!M235="","*",SP_SUL!M235)</f>
        <v>105-ZGP</v>
      </c>
      <c r="H235" s="154">
        <f>IF(SP_SUL!K235="","*",SP_SUL!K235)</f>
        <v>102</v>
      </c>
      <c r="I235" s="132">
        <f>IF(SP_SUL!O235="","*",SP_SUL!O235)</f>
        <v>0.33333333333333331</v>
      </c>
      <c r="J235" s="132">
        <f>IF(SP_SUL!P235="","*",SP_SUL!P235)</f>
        <v>0.22916666666666666</v>
      </c>
      <c r="K235" s="141" t="str">
        <f>IF(SP_SUL!AK235="","*",SP_SUL!AK235)</f>
        <v>-</v>
      </c>
      <c r="L235" s="141" t="str">
        <f>IF(SP_SUL!AM235="","*",SP_SUL!AM235)</f>
        <v>105-ZGP</v>
      </c>
      <c r="M235" s="141">
        <f>IF(SP_SUL!AP235="","*",SP_SUL!AP235)</f>
        <v>102</v>
      </c>
      <c r="N235" s="141" t="str">
        <f>IF(SP_SUL!AM235="","*",SP_SUL!AM235)</f>
        <v>105-ZGP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V85</v>
      </c>
      <c r="F236" s="100" t="str">
        <f>IF(SP_SUL!H236="","*",SP_SUL!H236)</f>
        <v>ZPT1051</v>
      </c>
      <c r="G236" s="100" t="str">
        <f>IF(SP_SUL!M236="","*",SP_SUL!M236)</f>
        <v>105-ZGP</v>
      </c>
      <c r="H236" s="154">
        <f>IF(SP_SUL!K236="","*",SP_SUL!K236)</f>
        <v>103.7</v>
      </c>
      <c r="I236" s="132">
        <f>IF(SP_SUL!O236="","*",SP_SUL!O236)</f>
        <v>0.30555555555555558</v>
      </c>
      <c r="J236" s="132">
        <f>IF(SP_SUL!P236="","*",SP_SUL!P236)</f>
        <v>6.9444444444444447E-4</v>
      </c>
      <c r="K236" s="141" t="str">
        <f>IF(SP_SUL!AK236="","*",SP_SUL!AK236)</f>
        <v>ZPT1051</v>
      </c>
      <c r="L236" s="141" t="str">
        <f>IF(SP_SUL!AM236="","*",SP_SUL!AM236)</f>
        <v>105-ZGP</v>
      </c>
      <c r="M236" s="141">
        <f>IF(SP_SUL!AP236="","*",SP_SUL!AP236)</f>
        <v>103.7</v>
      </c>
      <c r="N236" s="141" t="str">
        <f>IF(SP_SUL!AM236="","*",SP_SUL!AM236)</f>
        <v>105-ZGP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W62</v>
      </c>
      <c r="F237" s="100" t="str">
        <f>IF(SP_SUL!H237="","*",SP_SUL!H237)</f>
        <v>ZPT1051</v>
      </c>
      <c r="G237" s="100" t="str">
        <f>IF(SP_SUL!M237="","*",SP_SUL!M237)</f>
        <v>105-ZGP</v>
      </c>
      <c r="H237" s="154">
        <f>IF(SP_SUL!K237="","*",SP_SUL!K237)</f>
        <v>104.3</v>
      </c>
      <c r="I237" s="132">
        <f>IF(SP_SUL!O237="","*",SP_SUL!O237)</f>
        <v>0.3125</v>
      </c>
      <c r="J237" s="132">
        <f>IF(SP_SUL!P237="","*",SP_SUL!P237)</f>
        <v>6.9444444444444447E-4</v>
      </c>
      <c r="K237" s="141" t="str">
        <f>IF(SP_SUL!AK237="","*",SP_SUL!AK237)</f>
        <v>ZPT1051</v>
      </c>
      <c r="L237" s="141" t="str">
        <f>IF(SP_SUL!AM237="","*",SP_SUL!AM237)</f>
        <v>105-ZGP</v>
      </c>
      <c r="M237" s="141">
        <f>IF(SP_SUL!AP237="","*",SP_SUL!AP237)</f>
        <v>104.3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ZPT-ZPG</v>
      </c>
      <c r="E238" s="100" t="str">
        <f>IF(SP_SUL!D238="","*",SP_SUL!D238)</f>
        <v>DIEGO (TF-42)</v>
      </c>
      <c r="F238" s="100" t="str">
        <f>IF(SP_SUL!H238="","*",SP_SUL!H238)</f>
        <v>-</v>
      </c>
      <c r="G238" s="100" t="str">
        <f>IF(SP_SUL!M238="","*",SP_SUL!M238)</f>
        <v>ZGM-109</v>
      </c>
      <c r="H238" s="154">
        <f>IF(SP_SUL!K238="","*",SP_SUL!K238)</f>
        <v>115.5</v>
      </c>
      <c r="I238" s="132">
        <f>IF(SP_SUL!O238="","*",SP_SUL!O238)</f>
        <v>0.45833333333333331</v>
      </c>
      <c r="J238" s="132">
        <f>IF(SP_SUL!P238="","*",SP_SUL!P238)</f>
        <v>8.3333333333333329E-2</v>
      </c>
      <c r="K238" s="141" t="str">
        <f>IF(SP_SUL!AK238="","*",SP_SUL!AK238)</f>
        <v>-</v>
      </c>
      <c r="L238" s="141" t="str">
        <f>IF(SP_SUL!AM238="","*",SP_SUL!AM238)</f>
        <v>ZGM-109</v>
      </c>
      <c r="M238" s="141">
        <f>IF(SP_SUL!AP238="","*",SP_SUL!AP238)</f>
        <v>115.5</v>
      </c>
      <c r="N238" s="141" t="str">
        <f>IF(SP_SUL!AM238="","*",SP_SUL!AM238)</f>
        <v>ZGM-109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Contrato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E41</v>
      </c>
      <c r="F240" s="100" t="str">
        <f>IF(SP_SUL!H240="","*",SP_SUL!H240)</f>
        <v>IBA</v>
      </c>
      <c r="G240" s="100" t="str">
        <f>IF(SP_SUL!M240="","*",SP_SUL!M240)</f>
        <v>IBA-ZPT</v>
      </c>
      <c r="H240" s="154" t="str">
        <f>IF(SP_SUL!K240="","*",SP_SUL!K240)</f>
        <v>*</v>
      </c>
      <c r="I240" s="132">
        <f>IF(SP_SUL!O240="","*",SP_SUL!O240)</f>
        <v>0.33333333333333331</v>
      </c>
      <c r="J240" s="132">
        <f>IF(SP_SUL!P240="","*",SP_SUL!P240)</f>
        <v>4.1666666666666664E-2</v>
      </c>
      <c r="K240" s="141" t="str">
        <f>IF(SP_SUL!AK240="","*",SP_SUL!AK240)</f>
        <v>IBA</v>
      </c>
      <c r="L240" s="141" t="str">
        <f>IF(SP_SUL!AM240="","*",SP_SUL!AM240)</f>
        <v>IBA-ZPT</v>
      </c>
      <c r="M240" s="141" t="str">
        <f>IF(SP_SUL!AP240="","*",SP_SUL!AP240)</f>
        <v>-</v>
      </c>
      <c r="N240" s="141" t="str">
        <f>IF(SP_SUL!AM240="","*",SP_SUL!AM240)</f>
        <v>IBA-ZPT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1351</v>
      </c>
      <c r="C2" s="96" t="s">
        <v>854</v>
      </c>
      <c r="D2" s="96" t="s">
        <v>856</v>
      </c>
      <c r="E2" s="96" t="s">
        <v>1352</v>
      </c>
      <c r="F2" s="96" t="s">
        <v>1353</v>
      </c>
      <c r="G2" s="96" t="s">
        <v>1354</v>
      </c>
      <c r="H2" s="96" t="s">
        <v>1355</v>
      </c>
      <c r="I2" s="96" t="s">
        <v>1356</v>
      </c>
      <c r="J2" s="96" t="s">
        <v>1357</v>
      </c>
      <c r="K2" s="131" t="s">
        <v>1358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>
        <f>IF(SP_SUL!B225="","*",SP_SUL!B225)</f>
        <v>46001</v>
      </c>
      <c r="D209" s="121" t="str">
        <f>IF(SP_SUL!D225="","*",SP_SUL!D225)</f>
        <v>DIEGO (TP-723)</v>
      </c>
      <c r="E209" s="121" t="str">
        <f>IF(SP_SUL!H225="","*",SP_SUL!H225)</f>
        <v>-</v>
      </c>
      <c r="F209" s="137" t="str">
        <f>IF(SP_SUL!M225="","*",SP_SUL!M225)</f>
        <v>ZYQ-ZEM</v>
      </c>
      <c r="G209" s="121" t="str">
        <f>IF(SP_SUL!I225="","*",SP_SUL!I225)</f>
        <v>*</v>
      </c>
      <c r="H209" s="121" t="str">
        <f>IF(SP_SUL!AB225="","*",SP_SUL!AB225)</f>
        <v>-</v>
      </c>
      <c r="I209" s="121" t="str">
        <f>IF(SP_SUL!AC225="","*",SP_SUL!AC225)</f>
        <v>-</v>
      </c>
      <c r="J209" s="122" t="str">
        <f>IF(SP_SUL!AA225="","*",SP_SUL!AA225)</f>
        <v>-</v>
      </c>
      <c r="K209" s="134" t="str">
        <f>IF(SP_SUL!AD225="","*",SP_SUL!AD225)</f>
        <v>-</v>
      </c>
    </row>
    <row r="210" spans="2:11" s="123" customFormat="1" hidden="1">
      <c r="B210" s="120" t="str">
        <f>IF(SP_SUL!Y226="","*",SP_SUL!Y226)</f>
        <v>*</v>
      </c>
      <c r="C210" s="121">
        <f>IF(SP_SUL!B226="","*",SP_SUL!B226)</f>
        <v>46001</v>
      </c>
      <c r="D210" s="121" t="str">
        <f>IF(SP_SUL!D226="","*",SP_SUL!D226)</f>
        <v>W60</v>
      </c>
      <c r="E210" s="121" t="str">
        <f>IF(SP_SUL!H226="","*",SP_SUL!H226)</f>
        <v>ZEM130-2</v>
      </c>
      <c r="F210" s="137" t="str">
        <f>IF(SP_SUL!M226="","*",SP_SUL!M226)</f>
        <v>ZYQ-ZEM</v>
      </c>
      <c r="G210" s="121" t="str">
        <f>IF(SP_SUL!I226="","*",SP_SUL!I226)</f>
        <v>ZEM1302</v>
      </c>
      <c r="H210" s="121" t="str">
        <f>IF(SP_SUL!AB226="","*",SP_SUL!AB226)</f>
        <v>FIXO</v>
      </c>
      <c r="I210" s="121" t="str">
        <f>IF(SP_SUL!AC226="","*",SP_SUL!AC226)</f>
        <v>ACIONAMENTO</v>
      </c>
      <c r="J210" s="122">
        <f>IF(SP_SUL!AA226="","*",SP_SUL!AA226)</f>
        <v>1</v>
      </c>
      <c r="K210" s="134">
        <f>IF(SP_SUL!AD226="","*",SP_SUL!AD226)</f>
        <v>0.33333333333333331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V97</v>
      </c>
      <c r="E211" s="121" t="str">
        <f>IF(SP_SUL!H227="","*",SP_SUL!H227)</f>
        <v>ZEM-2</v>
      </c>
      <c r="F211" s="137" t="str">
        <f>IF(SP_SUL!M227="","*",SP_SUL!M227)</f>
        <v>ZEM-ZEV</v>
      </c>
      <c r="G211" s="121" t="str">
        <f>IF(SP_SUL!I227="","*",SP_SUL!I227)</f>
        <v>ZEV-2</v>
      </c>
      <c r="H211" s="121" t="str">
        <f>IF(SP_SUL!AB227="","*",SP_SUL!AB227)</f>
        <v>FIXO</v>
      </c>
      <c r="I211" s="121" t="str">
        <f>IF(SP_SUL!AC227="","*",SP_SUL!AC227)</f>
        <v>ACIONAMENTO</v>
      </c>
      <c r="J211" s="122">
        <f>IF(SP_SUL!AA227="","*",SP_SUL!AA227)</f>
        <v>1</v>
      </c>
      <c r="K211" s="134">
        <f>IF(SP_SUL!AD227="","*",SP_SUL!AD227)</f>
        <v>0.33333333333333331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EDSON (TP-719)</v>
      </c>
      <c r="E215" s="121" t="str">
        <f>IF(SP_SUL!H232="","*",SP_SUL!H232)</f>
        <v>-</v>
      </c>
      <c r="F215" s="137" t="str">
        <f>IF(SP_SUL!M232="","*",SP_SUL!M232)</f>
        <v>ZEZ-069</v>
      </c>
      <c r="G215" s="121" t="str">
        <f>IF(SP_SUL!I232="","*",SP_SUL!I232)</f>
        <v>-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>
        <f>IF(SP_SUL!B233="","*",SP_SUL!B233)</f>
        <v>46001</v>
      </c>
      <c r="D216" s="121" t="str">
        <f>IF(SP_SUL!D233="","*",SP_SUL!D233)</f>
        <v>WILLIAN (TP-811)</v>
      </c>
      <c r="E216" s="121" t="str">
        <f>IF(SP_SUL!H233="","*",SP_SUL!H233)</f>
        <v>-</v>
      </c>
      <c r="F216" s="137" t="str">
        <f>IF(SP_SUL!M233="","*",SP_SUL!M233)</f>
        <v>ZXW</v>
      </c>
      <c r="G216" s="121" t="str">
        <f>IF(SP_SUL!I233="","*",SP_SUL!I233)</f>
        <v>-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HUELTON (TP-725)</v>
      </c>
      <c r="E217" s="121" t="str">
        <f>IF(SP_SUL!H234="","*",SP_SUL!H234)</f>
        <v>-</v>
      </c>
      <c r="F217" s="137" t="str">
        <f>IF(SP_SUL!M234="","*",SP_SUL!M234)</f>
        <v>105-ZGP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MOD ZGP</v>
      </c>
      <c r="E218" s="121" t="str">
        <f>IF(SP_SUL!H235="","*",SP_SUL!H235)</f>
        <v>-</v>
      </c>
      <c r="F218" s="137" t="str">
        <f>IF(SP_SUL!M235="","*",SP_SUL!M235)</f>
        <v>105-ZGP</v>
      </c>
      <c r="G218" s="121" t="str">
        <f>IF(SP_SUL!I235="","*",SP_SUL!I235)</f>
        <v>-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V85</v>
      </c>
      <c r="E219" s="121" t="str">
        <f>IF(SP_SUL!H236="","*",SP_SUL!H236)</f>
        <v>ZPT1051</v>
      </c>
      <c r="F219" s="137" t="str">
        <f>IF(SP_SUL!M236="","*",SP_SUL!M236)</f>
        <v>105-ZGP</v>
      </c>
      <c r="G219" s="121" t="str">
        <f>IF(SP_SUL!I236="","*",SP_SUL!I236)</f>
        <v>ZPTZDR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W62</v>
      </c>
      <c r="E220" s="121" t="str">
        <f>IF(SP_SUL!H237="","*",SP_SUL!H237)</f>
        <v>ZPT1051</v>
      </c>
      <c r="F220" s="137" t="str">
        <f>IF(SP_SUL!M237="","*",SP_SUL!M237)</f>
        <v>105-ZGP</v>
      </c>
      <c r="G220" s="121" t="str">
        <f>IF(SP_SUL!I237="","*",SP_SUL!I237)</f>
        <v>ZPTZDR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DIEGO (TF-42)</v>
      </c>
      <c r="E221" s="121" t="str">
        <f>IF(SP_SUL!H238="","*",SP_SUL!H238)</f>
        <v>-</v>
      </c>
      <c r="F221" s="137" t="str">
        <f>IF(SP_SUL!M238="","*",SP_SUL!M238)</f>
        <v>ZGM-109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E41</v>
      </c>
      <c r="E223" s="121" t="str">
        <f>IF(SP_SUL!H240="","*",SP_SUL!H240)</f>
        <v>IBA</v>
      </c>
      <c r="F223" s="137" t="str">
        <f>IF(SP_SUL!M240="","*",SP_SUL!M240)</f>
        <v>IBA-ZPT</v>
      </c>
      <c r="G223" s="121" t="str">
        <f>IF(SP_SUL!I240="","*",SP_SUL!I240)</f>
        <v>ZTP</v>
      </c>
      <c r="H223" s="121" t="str">
        <f>IF(SP_SUL!AB240="","*",SP_SUL!AB240)</f>
        <v>ESCALA</v>
      </c>
      <c r="I223" s="121" t="str">
        <f>IF(SP_SUL!AC240="","*",SP_SUL!AC240)</f>
        <v>AGD ACIONAMENTO PCM</v>
      </c>
      <c r="J223" s="122">
        <f>IF(SP_SUL!AA240="","*",SP_SUL!AA240)</f>
        <v>2</v>
      </c>
      <c r="K223" s="134">
        <f>IF(SP_SUL!AD240="","*",SP_SUL!AD240)</f>
        <v>0.33333333333333331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2025-12-09T17:57:09Z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