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692" documentId="120_S{118792C3-22EF-5104-A093-F22BFE3913F3}" xr6:coauthVersionLast="47" xr6:coauthVersionMax="47" xr10:uidLastSave="{1E7836A5-1780-497C-AAA0-442B8B64B90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9" i="1" l="1" a="1"/>
  <c r="M99" i="1" s="1"/>
  <c r="L99" i="1" a="1"/>
  <c r="L99" i="1" s="1"/>
  <c r="M96" i="1" a="1"/>
  <c r="M96" i="1" s="1"/>
  <c r="L96" i="1" a="1"/>
  <c r="L96" i="1" s="1"/>
  <c r="M95" i="1" a="1"/>
  <c r="M95" i="1" s="1"/>
  <c r="L95" i="1" a="1"/>
  <c r="L95" i="1" s="1"/>
  <c r="M94" i="1" a="1"/>
  <c r="M94" i="1" s="1"/>
  <c r="L94" i="1" a="1"/>
  <c r="L94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M98" i="1" a="1"/>
  <c r="M98" i="1" s="1"/>
  <c r="L98" i="1" a="1"/>
  <c r="L98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89" i="1" a="1"/>
  <c r="M89" i="1" s="1"/>
  <c r="L87" i="15" s="1"/>
  <c r="L89" i="1" a="1"/>
  <c r="L89" i="1" s="1"/>
  <c r="K87" i="15" s="1"/>
  <c r="A89" i="1"/>
  <c r="C89" i="1"/>
  <c r="F89" i="1"/>
  <c r="Q89" i="1"/>
  <c r="R87" i="15" s="1"/>
  <c r="R89" i="1" a="1"/>
  <c r="R89" i="1"/>
  <c r="D87" i="15" s="1"/>
  <c r="S89" i="1" a="1"/>
  <c r="S89" i="1"/>
  <c r="E87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7" i="1" a="1"/>
  <c r="M87" i="1" s="1"/>
  <c r="L84" i="15" s="1"/>
  <c r="L87" i="1" a="1"/>
  <c r="L87" i="1" s="1"/>
  <c r="K84" i="15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5" i="1" a="1"/>
  <c r="M85" i="1" s="1"/>
  <c r="L82" i="15" s="1"/>
  <c r="L85" i="1" a="1"/>
  <c r="L85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K85" i="15" s="1"/>
  <c r="M80" i="1" a="1"/>
  <c r="M80" i="1" s="1"/>
  <c r="L77" i="15" s="1"/>
  <c r="L80" i="1" a="1"/>
  <c r="L80" i="1" s="1"/>
  <c r="K77" i="15" s="1"/>
  <c r="M86" i="1" a="1"/>
  <c r="M86" i="1" s="1"/>
  <c r="L83" i="15" s="1"/>
  <c r="L86" i="1" a="1"/>
  <c r="L86" i="1" s="1"/>
  <c r="K83" i="15" s="1"/>
  <c r="M91" i="1" a="1"/>
  <c r="M91" i="1" s="1"/>
  <c r="L88" i="15" s="1"/>
  <c r="L91" i="1" a="1"/>
  <c r="L91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L76" i="15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R81" i="15"/>
  <c r="Q85" i="1"/>
  <c r="R82" i="15" s="1"/>
  <c r="Q86" i="1"/>
  <c r="R83" i="15" s="1"/>
  <c r="Q88" i="1"/>
  <c r="R85" i="15" s="1"/>
  <c r="Q91" i="1"/>
  <c r="R88" i="15" s="1"/>
  <c r="Q92" i="1"/>
  <c r="Q93" i="1"/>
  <c r="Q94" i="1"/>
  <c r="Q95" i="1"/>
  <c r="Q96" i="1"/>
  <c r="Q97" i="1"/>
  <c r="Q98" i="1"/>
  <c r="R95" i="15" s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8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D81" i="15"/>
  <c r="E81" i="15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1" i="1"/>
  <c r="C91" i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2" i="10" s="1"/>
  <c r="AK91" i="1"/>
  <c r="AN91" i="1"/>
  <c r="AO91" i="1"/>
  <c r="M72" i="10" s="1"/>
  <c r="AP91" i="1"/>
  <c r="AX91" i="1"/>
  <c r="BQ91" i="1"/>
  <c r="BR91" i="1"/>
  <c r="K73" i="10"/>
  <c r="M73" i="10"/>
  <c r="A92" i="1"/>
  <c r="C92" i="1"/>
  <c r="L92" i="1" a="1"/>
  <c r="L92" i="1" s="1"/>
  <c r="K89" i="15" s="1"/>
  <c r="M92" i="1" a="1"/>
  <c r="M92" i="1" s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4" i="10" s="1"/>
  <c r="AK92" i="1"/>
  <c r="AN92" i="1"/>
  <c r="BD92" i="1" s="1" a="1"/>
  <c r="BD92" i="1" s="1"/>
  <c r="AO92" i="1"/>
  <c r="M74" i="10" s="1"/>
  <c r="AP92" i="1"/>
  <c r="AX92" i="1"/>
  <c r="BQ92" i="1"/>
  <c r="BR92" i="1"/>
  <c r="A93" i="1"/>
  <c r="C93" i="1"/>
  <c r="L93" i="1" a="1"/>
  <c r="L93" i="1" s="1"/>
  <c r="K90" i="15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75" i="10" s="1"/>
  <c r="AK93" i="1"/>
  <c r="AN93" i="1"/>
  <c r="BD93" i="1" s="1" a="1"/>
  <c r="BD93" i="1" s="1"/>
  <c r="AO93" i="1"/>
  <c r="M75" i="10" s="1"/>
  <c r="AP93" i="1"/>
  <c r="AX93" i="1"/>
  <c r="BQ93" i="1"/>
  <c r="BR93" i="1"/>
  <c r="A94" i="1"/>
  <c r="C94" i="1"/>
  <c r="K91" i="15"/>
  <c r="L91" i="15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A95" i="1"/>
  <c r="C95" i="1"/>
  <c r="K92" i="15"/>
  <c r="L92" i="15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A96" i="1"/>
  <c r="C96" i="1"/>
  <c r="K93" i="15"/>
  <c r="L93" i="15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A98" i="1"/>
  <c r="C98" i="1"/>
  <c r="K95" i="15"/>
  <c r="L95" i="15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A99" i="1"/>
  <c r="C99" i="1"/>
  <c r="K96" i="15"/>
  <c r="L96" i="15"/>
  <c r="R99" i="1" a="1"/>
  <c r="R99" i="1" s="1"/>
  <c r="D96" i="15" s="1"/>
  <c r="S99" i="1" a="1"/>
  <c r="S99" i="1" s="1"/>
  <c r="E96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A107" i="1"/>
  <c r="C107" i="1"/>
  <c r="L107" i="1" a="1"/>
  <c r="L107" i="1" s="1"/>
  <c r="K104" i="15" s="1"/>
  <c r="M107" i="1" a="1"/>
  <c r="M107" i="1" s="1"/>
  <c r="L104" i="15" s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A108" i="1"/>
  <c r="C108" i="1"/>
  <c r="L108" i="1" a="1"/>
  <c r="L108" i="1" s="1"/>
  <c r="K105" i="15" s="1"/>
  <c r="M108" i="1" a="1"/>
  <c r="M108" i="1" s="1"/>
  <c r="L105" i="15" s="1"/>
  <c r="R108" i="1" a="1"/>
  <c r="R108" i="1" s="1"/>
  <c r="D105" i="15" s="1"/>
  <c r="S108" i="1" a="1"/>
  <c r="S108" i="1" s="1"/>
  <c r="E105" i="15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A109" i="1"/>
  <c r="C109" i="1"/>
  <c r="L109" i="1" a="1"/>
  <c r="L109" i="1" s="1"/>
  <c r="K106" i="15" s="1"/>
  <c r="M109" i="1" a="1"/>
  <c r="M109" i="1" s="1"/>
  <c r="L106" i="15" s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A110" i="1"/>
  <c r="C110" i="1"/>
  <c r="L110" i="1" a="1"/>
  <c r="L110" i="1" s="1"/>
  <c r="K107" i="15" s="1"/>
  <c r="M110" i="1" a="1"/>
  <c r="M110" i="1" s="1"/>
  <c r="L107" i="15" s="1"/>
  <c r="R110" i="1" a="1"/>
  <c r="R110" i="1" s="1"/>
  <c r="D107" i="15" s="1"/>
  <c r="S110" i="1" a="1"/>
  <c r="S110" i="1" s="1"/>
  <c r="E107" i="15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A111" i="1"/>
  <c r="C111" i="1"/>
  <c r="L111" i="1" a="1"/>
  <c r="L111" i="1" s="1"/>
  <c r="K108" i="15" s="1"/>
  <c r="M111" i="1" a="1"/>
  <c r="M111" i="1" s="1"/>
  <c r="L108" i="15" s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A115" i="1"/>
  <c r="C115" i="1"/>
  <c r="L115" i="1" a="1"/>
  <c r="L115" i="1" s="1"/>
  <c r="K112" i="15" s="1"/>
  <c r="M115" i="1" a="1"/>
  <c r="M115" i="1" s="1"/>
  <c r="L112" i="15" s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A116" i="1"/>
  <c r="C116" i="1"/>
  <c r="L116" i="1" a="1"/>
  <c r="L116" i="1" s="1"/>
  <c r="K113" i="15" s="1"/>
  <c r="M116" i="1" a="1"/>
  <c r="M116" i="1" s="1"/>
  <c r="L113" i="15" s="1"/>
  <c r="R116" i="1" a="1"/>
  <c r="R116" i="1" s="1"/>
  <c r="D113" i="15" s="1"/>
  <c r="S116" i="1" a="1"/>
  <c r="S116" i="1" s="1"/>
  <c r="E113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A117" i="1"/>
  <c r="C117" i="1"/>
  <c r="L117" i="1" a="1"/>
  <c r="L117" i="1" s="1"/>
  <c r="K114" i="15" s="1"/>
  <c r="M117" i="1" a="1"/>
  <c r="M117" i="1" s="1"/>
  <c r="L114" i="15" s="1"/>
  <c r="R117" i="1" a="1"/>
  <c r="R117" i="1" s="1"/>
  <c r="D114" i="15" s="1"/>
  <c r="S117" i="1" a="1"/>
  <c r="S117" i="1" s="1"/>
  <c r="E114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A118" i="1"/>
  <c r="C118" i="1"/>
  <c r="L118" i="1" a="1"/>
  <c r="L118" i="1" s="1"/>
  <c r="K115" i="15" s="1"/>
  <c r="M118" i="1" a="1"/>
  <c r="M118" i="1" s="1"/>
  <c r="L115" i="15" s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A119" i="1"/>
  <c r="C119" i="1"/>
  <c r="L119" i="1" a="1"/>
  <c r="L119" i="1" s="1"/>
  <c r="K116" i="15" s="1"/>
  <c r="M119" i="1" a="1"/>
  <c r="M119" i="1" s="1"/>
  <c r="L116" i="15" s="1"/>
  <c r="R119" i="1" a="1"/>
  <c r="R119" i="1" s="1"/>
  <c r="D116" i="15" s="1"/>
  <c r="S119" i="1" a="1"/>
  <c r="S119" i="1" s="1"/>
  <c r="E116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A120" i="1"/>
  <c r="C120" i="1"/>
  <c r="L120" i="1" a="1"/>
  <c r="L120" i="1" s="1"/>
  <c r="K117" i="15" s="1"/>
  <c r="M120" i="1" a="1"/>
  <c r="M120" i="1" s="1"/>
  <c r="L117" i="15" s="1"/>
  <c r="R120" i="1" a="1"/>
  <c r="R120" i="1" s="1"/>
  <c r="D117" i="15" s="1"/>
  <c r="S120" i="1" a="1"/>
  <c r="S120" i="1" s="1"/>
  <c r="E117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A121" i="1"/>
  <c r="C121" i="1"/>
  <c r="L121" i="1" a="1"/>
  <c r="L121" i="1" s="1"/>
  <c r="K118" i="15" s="1"/>
  <c r="M121" i="1" a="1"/>
  <c r="M121" i="1" s="1"/>
  <c r="L118" i="15" s="1"/>
  <c r="R121" i="1" a="1"/>
  <c r="R121" i="1" s="1"/>
  <c r="D118" i="15" s="1"/>
  <c r="S121" i="1" a="1"/>
  <c r="S121" i="1" s="1"/>
  <c r="E118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A122" i="1"/>
  <c r="C122" i="1"/>
  <c r="L122" i="1" a="1"/>
  <c r="L122" i="1" s="1"/>
  <c r="K119" i="15" s="1"/>
  <c r="M122" i="1" a="1"/>
  <c r="M122" i="1" s="1"/>
  <c r="L119" i="15" s="1"/>
  <c r="R122" i="1" a="1"/>
  <c r="R122" i="1" s="1"/>
  <c r="D119" i="15" s="1"/>
  <c r="S122" i="1" a="1"/>
  <c r="S122" i="1" s="1"/>
  <c r="E119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A123" i="1"/>
  <c r="C123" i="1"/>
  <c r="L123" i="1" a="1"/>
  <c r="L123" i="1" s="1"/>
  <c r="K120" i="15" s="1"/>
  <c r="M123" i="1" a="1"/>
  <c r="M123" i="1" s="1"/>
  <c r="L120" i="15" s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59" i="1" l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0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89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1" i="1" a="1"/>
  <c r="BC91" i="1" s="1"/>
  <c r="BD91" i="1" a="1"/>
  <c r="BD91" i="1" s="1"/>
  <c r="BB73" i="1" a="1"/>
  <c r="BB73" i="1" s="1"/>
  <c r="AL63" i="1"/>
  <c r="BP87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F10" i="12"/>
  <c r="F11" i="12"/>
  <c r="F12" i="12"/>
  <c r="F13" i="12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88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2" i="1" a="1"/>
  <c r="BC92" i="1" s="1"/>
  <c r="BB86" i="1" a="1"/>
  <c r="BB86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AM106" i="1"/>
  <c r="BB94" i="1" a="1"/>
  <c r="BB94" i="1" s="1"/>
  <c r="AM94" i="1"/>
  <c r="BC111" i="1" a="1"/>
  <c r="BC111" i="1" s="1"/>
  <c r="AM93" i="1"/>
  <c r="AM92" i="1"/>
  <c r="AM91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88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<sst xmlns="http://schemas.openxmlformats.org/spreadsheetml/2006/main" count="4065" uniqueCount="1248">
  <si>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</si>
  <si>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</si>
  <si>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</si>
  <si>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</si>
  <si>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</si>
  <si>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</si>
  <si>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</si>
  <si>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</si>
  <si>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</si>
  <si>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</si>
  <si>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</si>
  <si>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</si>
  <si>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</si>
  <si>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</si>
  <si>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</si>
  <si>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</si>
  <si>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</si>
  <si>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</si>
  <si>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</si>
  <si>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</si>
  <si>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</si>
  <si>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</si>
  <si>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</si>
  <si>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</si>
  <si>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</si>
  <si>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</si>
  <si>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</si>
  <si>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</si>
  <si>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</si>
  <si>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</si>
  <si>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</si>
  <si>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</si>
  <si>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</si>
  <si>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</si>
  <si>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</si>
  <si>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</si>
  <si>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</si>
  <si>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</si>
  <si>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</si>
  <si>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</si>
  <si>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</si>
  <si>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</si>
  <si>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</si>
  <si>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</si>
  <si>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</si>
  <si>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</si>
  <si>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</si>
  <si>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</si>
  <si>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</si>
  <si>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</si>
  <si>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</si>
  <si>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</si>
  <si>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</si>
  <si>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</si>
  <si>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</si>
  <si>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</si>
  <si>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</si>
  <si>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</si>
  <si>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</si>
  <si>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</si>
  <si>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</si>
  <si>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</si>
  <si>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</si>
  <si>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</si>
  <si>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</si>
  <si>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</si>
  <si>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</si>
  <si>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</si>
  <si>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</si>
  <si>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</si>
  <si>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</si>
  <si>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</si>
  <si>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</si>
  <si>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</si>
  <si>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</si>
  <si>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</si>
  <si>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</si>
  <si>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</si>
  <si>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</si>
  <si>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</si>
  <si>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</si>
  <si>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</si>
  <si>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</si>
  <si>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</si>
  <si>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</si>
  <si>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</si>
  <si>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</si>
  <si>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</si>
  <si>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</si>
  <si>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</si>
  <si>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</si>
  <si>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</si>
  <si>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</si>
  <si>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</si>
  <si>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</si>
  <si>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</si>
  <si>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</si>
  <si>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</si>
  <si>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</si>
  <si>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</si>
  <si>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</si>
  <si>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</si>
  <si>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</si>
  <si>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</si>
  <si>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</si>
  <si>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</si>
  <si>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</si>
  <si>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</si>
  <si>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</si>
  <si>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</si>
  <si>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</si>
  <si>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</si>
  <si>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</si>
  <si>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</si>
  <si>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</si>
  <si>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</si>
  <si>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</si>
  <si>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</si>
  <si>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</si>
  <si>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</si>
  <si>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</si>
  <si>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</si>
  <si>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</si>
  <si>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</si>
  <si>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</si>
  <si>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</si>
  <si>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</si>
  <si>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</si>
  <si>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</si>
  <si>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</si>
  <si>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</si>
  <si>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</si>
  <si>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</si>
  <si>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</si>
  <si>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</si>
  <si>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</si>
  <si>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</si>
  <si>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</si>
  <si>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</si>
  <si>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</si>
  <si>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</si>
  <si>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</si>
  <si>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</si>
  <si>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</si>
  <si>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</si>
  <si>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</si>
  <si>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</si>
  <si>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</si>
  <si>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</si>
  <si>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</si>
  <si>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</si>
  <si>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</si>
  <si>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</si>
  <si>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</si>
  <si>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</si>
  <si>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</si>
  <si>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</si>
  <si>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</si>
  <si>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</si>
  <si>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</si>
  <si>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</si>
  <si>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</si>
  <si>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</si>
  <si>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</si>
  <si>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</si>
  <si>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</si>
  <si>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</si>
  <si>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</si>
  <si>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</si>
  <si>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</si>
  <si>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</si>
  <si>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</si>
  <si>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</si>
  <si>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</si>
  <si>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</si>
  <si>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</si>
  <si>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</si>
  <si>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</si>
  <si>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</si>
  <si>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</si>
  <si>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</si>
  <si>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</si>
  <si>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</si>
  <si>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</si>
  <si>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</si>
  <si>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</si>
  <si>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</si>
  <si>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</si>
  <si>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</si>
  <si>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</si>
  <si>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</si>
  <si>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</si>
  <si>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</si>
  <si>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</si>
  <si>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</si>
  <si>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</si>
  <si>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</si>
  <si>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</si>
  <si>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</si>
  <si>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</si>
  <si>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</si>
  <si>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</si>
  <si>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</si>
  <si>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</si>
  <si>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</si>
  <si>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</si>
  <si>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</si>
  <si>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</si>
  <si>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</si>
  <si>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</si>
  <si>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</si>
  <si>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</si>
  <si>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</si>
  <si>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</si>
  <si>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</si>
  <si>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</si>
  <si>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</si>
  <si>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</si>
  <si>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</si>
  <si>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</si>
  <si>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</si>
  <si>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</si>
  <si>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</si>
  <si>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</si>
  <si>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</si>
  <si>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</si>
  <si>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</si>
  <si>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</si>
  <si>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</si>
  <si>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</si>
  <si>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</si>
  <si>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</si>
  <si>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</si>
  <si>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</si>
  <si>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</si>
  <si>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</si>
  <si>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</si>
  <si>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</si>
  <si>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</si>
  <si>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</si>
  <si>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</si>
  <si>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</si>
  <si>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</si>
  <si>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</si>
  <si>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</si>
  <si>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</si>
  <si>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</si>
  <si>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</si>
  <si>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</si>
  <si>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</si>
  <si>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</si>
  <si>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</si>
  <si>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</si>
  <si>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</si>
  <si>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</si>
  <si>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</si>
  <si>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</si>
  <si>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</si>
  <si>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</si>
  <si>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</si>
  <si>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</si>
  <si>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</si>
  <si>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</si>
  <si>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</si>
  <si>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</si>
  <si>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</si>
  <si>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</si>
  <si>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</si>
  <si>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</si>
  <si>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</si>
  <si>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</si>
  <si>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</si>
  <si>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</si>
  <si>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</si>
  <si>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</si>
  <si>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</si>
  <si>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</si>
  <si>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</si>
  <si>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</si>
  <si>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</si>
  <si>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</si>
  <si>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</si>
  <si>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</si>
  <si>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</si>
  <si>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</si>
  <si>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</si>
  <si>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</si>
  <si>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</si>
  <si>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</si>
  <si>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</si>
  <si>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</si>
  <si>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</si>
  <si>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</si>
  <si>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</si>
  <si>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</si>
  <si>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</si>
  <si>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</si>
  <si>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</si>
  <si>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</si>
  <si>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</si>
  <si>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</si>
  <si>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</si>
  <si>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</si>
  <si>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</si>
  <si>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</si>
  <si>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</si>
  <si>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</si>
  <si>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</si>
  <si>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</si>
  <si>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</si>
  <si>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</si>
  <si>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</si>
  <si>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</si>
  <si>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</si>
  <si>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</si>
  <si>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</si>
  <si>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</si>
  <si>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</si>
  <si>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</si>
  <si>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</si>
  <si>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</si>
  <si>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</si>
  <si>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</si>
  <si>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</si>
  <si>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</si>
  <si>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</si>
  <si>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</si>
  <si>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</si>
  <si>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</si>
  <si>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</si>
  <si>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</si>
  <si>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</si>
  <si>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</si>
  <si>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</si>
  <si>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</si>
  <si>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</si>
  <si>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</si>
  <si>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</si>
  <si>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</si>
  <si>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</si>
  <si>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</si>
  <si>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</si>
  <si>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</si>
  <si>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</si>
  <si>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</si>
  <si>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</si>
  <si>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</si>
  <si>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</si>
  <si>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</si>
  <si>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</si>
  <si>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</si>
  <si>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</si>
  <si>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</si>
  <si>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</si>
  <si>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</si>
  <si>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</si>
  <si>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</si>
  <si>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</si>
  <si>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</si>
  <si>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</si>
  <si>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</si>
  <si>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</si>
  <si>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</si>
  <si>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</si>
  <si>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</si>
  <si>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</si>
  <si>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</si>
  <si>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</si>
  <si>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</si>
  <si>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</si>
  <si>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</si>
  <si>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</si>
  <si>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</si>
  <si>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</si>
  <si>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</si>
  <si>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</si>
  <si>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</si>
  <si>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</si>
  <si>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</si>
  <si>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</si>
  <si>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</si>
  <si>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</si>
  <si>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</si>
  <si>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</si>
  <si>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</si>
  <si>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</si>
  <si>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</si>
  <si>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</si>
  <si>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</si>
  <si>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</si>
  <si>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</si>
  <si>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</si>
  <si>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</si>
  <si>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</si>
  <si>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</si>
  <si>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</si>
  <si>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</si>
  <si>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</si>
  <si>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</si>
  <si>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</si>
  <si>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</si>
  <si>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</si>
  <si>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</si>
  <si>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</si>
  <si>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</si>
  <si>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</si>
  <si>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</si>
  <si>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</si>
  <si>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</si>
  <si>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</si>
  <si>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</si>
  <si>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</si>
  <si>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</si>
  <si>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</si>
  <si>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</si>
  <si>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</si>
  <si>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</si>
  <si>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</si>
  <si>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</si>
  <si>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</si>
  <si>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</si>
  <si>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</si>
  <si>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</si>
  <si>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</si>
  <si>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</si>
  <si>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</si>
  <si>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</si>
  <si>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</si>
  <si>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</si>
  <si>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</si>
  <si>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</si>
  <si>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</si>
  <si>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</si>
  <si>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</si>
  <si>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</si>
  <si>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</si>
  <si>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</si>
  <si>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</si>
  <si>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</si>
  <si>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</si>
  <si>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</si>
  <si>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</si>
  <si>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</si>
  <si>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</si>
  <si>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</si>
  <si>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</si>
  <si>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</si>
  <si>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</si>
  <si>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</si>
  <si>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</si>
  <si>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</si>
  <si>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</si>
  <si>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</si>
  <si>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</si>
  <si>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</si>
  <si>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</si>
  <si>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</si>
  <si>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</si>
  <si>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</si>
  <si>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</si>
  <si>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</si>
  <si>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</si>
  <si>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</si>
  <si>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</si>
  <si>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</si>
  <si>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</si>
  <si>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</si>
  <si>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</si>
  <si>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</si>
  <si>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</si>
  <si>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</si>
  <si>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</si>
  <si>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</si>
  <si>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</si>
  <si>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</si>
  <si>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</si>
  <si>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</si>
  <si>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</si>
  <si>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</si>
  <si>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</si>
  <si>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</si>
  <si>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</si>
  <si>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</si>
  <si>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</si>
  <si>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</si>
  <si>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</si>
  <si>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</si>
  <si>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</si>
  <si>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</si>
  <si>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</si>
  <si>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</si>
  <si>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</si>
  <si>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</si>
  <si>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</si>
  <si>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</si>
  <si>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</si>
  <si>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</si>
  <si>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</si>
  <si>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</si>
  <si>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</si>
  <si>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</si>
  <si>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</si>
  <si>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</si>
  <si>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</si>
  <si>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</si>
  <si>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</si>
  <si>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</si>
  <si>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</si>
  <si>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</si>
  <si>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</si>
  <si>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</si>
  <si>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</si>
  <si>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</si>
  <si>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</si>
  <si>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</si>
  <si>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</si>
  <si>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</si>
  <si>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</si>
  <si>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</si>
  <si>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</si>
  <si>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</si>
  <si>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</si>
  <si>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</si>
  <si>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</si>
  <si>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</si>
  <si>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</si>
  <si>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</si>
  <si>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</si>
  <si>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</si>
  <si>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</si>
  <si>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</si>
  <si>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</si>
  <si>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</si>
  <si>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</si>
  <si>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</si>
  <si>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</si>
  <si>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</si>
  <si>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</si>
  <si>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</si>
  <si>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</si>
  <si>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</si>
  <si>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</si>
  <si>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</si>
  <si>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</si>
  <si>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</si>
  <si>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</si>
  <si>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</si>
  <si>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</si>
  <si>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</si>
  <si>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</si>
  <si>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</si>
  <si>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</si>
  <si>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</si>
  <si>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</si>
  <si>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</si>
  <si>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</si>
  <si>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</si>
  <si>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</si>
  <si>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</si>
  <si>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</si>
  <si>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</si>
  <si>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</si>
  <si>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</si>
  <si>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</si>
  <si>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</si>
  <si>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</si>
  <si>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</si>
  <si>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</si>
  <si>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</si>
  <si>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</si>
  <si>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</si>
  <si>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</si>
  <si>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</si>
  <si>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</si>
  <si>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</si>
  <si>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</si>
  <si>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</si>
  <si>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</si>
  <si>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</si>
  <si>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</si>
  <si>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</si>
  <si>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</si>
  <si>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</si>
  <si>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</si>
  <si>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</si>
  <si>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</si>
  <si>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</si>
  <si>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</si>
  <si>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</si>
  <si>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</si>
  <si>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</si>
  <si>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</si>
  <si>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</si>
  <si>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</si>
  <si>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</si>
  <si>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</si>
  <si>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</si>
  <si>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</si>
  <si>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</si>
  <si>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</si>
  <si>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</si>
  <si>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</si>
  <si>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</si>
  <si>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</si>
  <si>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</si>
  <si>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</si>
  <si>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</si>
  <si>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</si>
  <si>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</si>
  <si>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</si>
  <si>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</si>
  <si>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</si>
  <si>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</si>
  <si>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</si>
  <si>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</si>
  <si>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</si>
  <si>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</si>
  <si>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</si>
  <si>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</si>
  <si>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</si>
  <si>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</si>
  <si>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</si>
  <si>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</si>
  <si>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</si>
  <si>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</si>
  <si>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</si>
  <si>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</si>
  <si>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</si>
  <si>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</si>
  <si>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</si>
  <si>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</si>
  <si>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</si>
  <si>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</si>
  <si>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</si>
  <si>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</si>
  <si>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</si>
  <si>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</si>
  <si>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</si>
  <si>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</si>
  <si>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</si>
  <si>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</si>
  <si>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</si>
  <si>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</si>
  <si>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</si>
  <si>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</si>
  <si>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</si>
  <si>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</si>
  <si>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</si>
  <si>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</si>
  <si>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</si>
  <si>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</si>
  <si>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</si>
  <si>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</si>
  <si>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</si>
  <si>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</si>
  <si>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</si>
  <si>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</si>
  <si>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</si>
  <si>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</si>
  <si>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</si>
  <si>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</si>
  <si>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</si>
  <si>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</si>
  <si>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</si>
  <si>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</si>
  <si>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</si>
  <si>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</si>
  <si>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</si>
  <si>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</si>
  <si>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</si>
  <si>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</si>
  <si>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</si>
  <si>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</si>
  <si>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</si>
  <si>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</si>
  <si>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</si>
  <si>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</si>
  <si>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</si>
  <si>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</si>
  <si>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</si>
  <si>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</si>
  <si>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</si>
  <si>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</si>
  <si>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</si>
  <si>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</si>
  <si>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</si>
  <si>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</si>
  <si>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</si>
  <si>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</si>
  <si>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</si>
  <si>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</si>
  <si>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</si>
  <si>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</si>
  <si>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</si>
  <si>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</si>
  <si>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</si>
  <si>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</si>
  <si>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</si>
  <si>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</si>
  <si>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</si>
  <si>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</si>
  <si>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</si>
  <si>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</si>
  <si>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</si>
  <si>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</si>
  <si>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</si>
  <si>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</si>
  <si>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</si>
  <si>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</si>
  <si>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</si>
  <si>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</si>
  <si>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</si>
  <si>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</si>
  <si>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</si>
  <si>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</si>
  <si>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</si>
  <si>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</si>
  <si>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</si>
  <si>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</si>
  <si>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</si>
  <si>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</si>
  <si>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</si>
  <si>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</si>
  <si>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</si>
  <si>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</si>
  <si>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</si>
  <si>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</si>
  <si>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</si>
  <si>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</si>
  <si>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</si>
  <si>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</si>
  <si>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</si>
  <si>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</si>
  <si>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</si>
  <si>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</si>
  <si>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</si>
  <si>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</si>
  <si>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</si>
  <si>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</si>
  <si>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</si>
  <si>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</si>
  <si>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</si>
  <si>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</si>
  <si>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</si>
  <si>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</si>
  <si>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</si>
  <si>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</si>
  <si>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</si>
  <si>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</si>
  <si>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</si>
  <si>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</si>
  <si>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</si>
  <si>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</si>
  <si>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</si>
  <si>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</si>
  <si>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</si>
  <si>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</si>
  <si>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</si>
  <si>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</si>
  <si>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</si>
  <si>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</si>
  <si>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</si>
  <si>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</si>
  <si>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</si>
  <si>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</si>
  <si>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</si>
  <si>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</si>
  <si>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</si>
  <si>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</si>
  <si>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</si>
  <si>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</si>
  <si>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</si>
  <si>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</si>
  <si>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</si>
  <si>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</si>
  <si>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</si>
  <si>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</si>
  <si>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</si>
  <si>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</si>
  <si>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</si>
  <si>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</si>
  <si>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</si>
  <si>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</si>
  <si>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</si>
  <si>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</si>
  <si>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</si>
  <si>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</si>
  <si>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</si>
  <si>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</si>
  <si>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</si>
  <si>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</si>
  <si>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</si>
  <si>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</si>
  <si>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</si>
  <si>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</si>
  <si>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</si>
  <si>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</si>
  <si>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</si>
  <si>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</si>
  <si>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</si>
  <si>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</si>
  <si>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</si>
  <si>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</si>
  <si>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</si>
  <si>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</si>
  <si>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</si>
  <si>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</si>
  <si>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</si>
  <si>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</si>
  <si>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</si>
  <si>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</si>
  <si>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</si>
  <si>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</si>
  <si>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</si>
  <si>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</si>
  <si>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</si>
  <si>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</si>
  <si>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</si>
  <si>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</si>
  <si>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</si>
  <si>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</si>
  <si>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</si>
  <si>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</si>
  <si>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</si>
  <si>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</si>
  <si>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</si>
  <si>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</si>
  <si>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</si>
  <si>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</si>
  <si>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</si>
  <si>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</si>
  <si>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</si>
  <si>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</si>
  <si>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</si>
  <si>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</si>
  <si>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</si>
  <si>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</si>
  <si>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</si>
  <si>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</si>
  <si>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</si>
  <si>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</si>
  <si>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</si>
  <si>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</si>
  <si>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</si>
  <si>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</si>
  <si>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</si>
  <si>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</si>
  <si>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</si>
  <si>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</si>
  <si>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</si>
  <si>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</si>
  <si>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</si>
  <si>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</si>
  <si>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</si>
  <si>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</si>
  <si>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</si>
  <si>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</si>
  <si>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</si>
  <si>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</si>
  <si>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</si>
  <si>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</si>
  <si>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</si>
  <si>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</si>
  <si>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</si>
  <si>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</si>
  <si>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</si>
  <si>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</si>
  <si>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</si>
  <si>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</si>
  <si>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</si>
  <si>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</si>
  <si>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</si>
  <si>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</si>
  <si>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</si>
  <si>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</si>
  <si>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</si>
  <si>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</si>
  <si>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</si>
  <si>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</si>
  <si>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</si>
  <si>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</si>
  <si>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</si>
  <si>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</si>
  <si>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</si>
  <si>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</si>
  <si>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</si>
  <si>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</si>
  <si>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</si>
  <si>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</si>
  <si>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</si>
  <si>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</si>
  <si>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</si>
  <si>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</si>
  <si>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</si>
  <si>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</si>
  <si>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</si>
  <si>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</si>
  <si>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</si>
  <si>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</si>
  <si>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</si>
  <si>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</si>
  <si>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</si>
  <si>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</si>
  <si>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</si>
  <si>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</si>
  <si>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</si>
  <si>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</si>
  <si>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</si>
  <si>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</si>
  <si>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</si>
  <si>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</si>
  <si>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</si>
  <si>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</si>
  <si>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</si>
  <si>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</si>
  <si>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</si>
  <si>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</si>
  <si>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</si>
  <si>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</si>
  <si>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</si>
  <si>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</si>
  <si>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</si>
  <si>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</si>
  <si>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</si>
  <si>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</si>
  <si>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</si>
  <si>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</si>
  <si>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</si>
  <si>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</si>
  <si>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</si>
  <si>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</si>
  <si>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</si>
  <si>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</si>
  <si>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</si>
  <si>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</si>
  <si>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</si>
  <si>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</si>
  <si>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</si>
  <si>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</si>
  <si>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</si>
  <si>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</si>
  <si>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</si>
  <si>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</si>
  <si>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</si>
  <si>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</si>
  <si>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</si>
  <si>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</si>
  <si>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</si>
  <si>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</si>
  <si>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</si>
  <si>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</si>
  <si>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</si>
  <si>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</si>
  <si>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</si>
  <si>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</si>
  <si>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</si>
  <si>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</si>
  <si>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</si>
  <si>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</si>
  <si>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</si>
  <si>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</si>
  <si>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</si>
  <si>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</si>
  <si>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</si>
  <si>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</si>
  <si>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</si>
  <si>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</si>
  <si>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</si>
  <si>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</si>
  <si>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</si>
  <si>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</si>
  <si>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</si>
  <si>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</si>
  <si>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</si>
  <si>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</si>
  <si>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</si>
  <si>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</si>
  <si>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</si>
  <si>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</si>
  <si>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</si>
  <si>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</si>
  <si>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</si>
  <si>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</si>
  <si>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</si>
  <si>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</si>
  <si>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</si>
  <si>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</si>
  <si>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</si>
  <si>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</si>
  <si>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</si>
  <si>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</si>
  <si>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</si>
  <si>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</si>
  <si>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</si>
  <si>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</si>
  <si>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</si>
  <si>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</si>
  <si>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</si>
  <si>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</si>
  <si>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</si>
  <si>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</si>
  <si>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</si>
  <si>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</si>
  <si>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</si>
  <si>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</si>
  <si>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</si>
  <si>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</si>
  <si>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</si>
  <si>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</si>
  <si>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</si>
  <si>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</si>
  <si>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</si>
  <si>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</si>
  <si>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</si>
  <si>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</si>
  <si>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</si>
  <si>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</si>
  <si>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</si>
  <si>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</si>
  <si>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</si>
  <si>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</si>
  <si>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</si>
  <si>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</si>
  <si>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</si>
  <si>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</si>
  <si>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</si>
  <si>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</si>
  <si>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</si>
  <si>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</si>
  <si>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</si>
  <si>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</si>
  <si>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</si>
  <si>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</si>
  <si>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</si>
  <si>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</si>
  <si>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</si>
  <si>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</si>
  <si>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</si>
  <si>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</si>
  <si>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</si>
  <si>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</si>
  <si>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</si>
  <si>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</si>
  <si>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</si>
  <si>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</si>
  <si>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</si>
  <si>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</si>
  <si>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</si>
  <si>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</si>
  <si>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</si>
  <si>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</si>
  <si>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</si>
  <si>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</si>
  <si>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</si>
  <si>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</si>
  <si>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</si>
  <si>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</si>
  <si>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</si>
  <si>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</si>
  <si>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</si>
  <si>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</si>
  <si>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</si>
  <si>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</si>
  <si>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</si>
  <si>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</si>
  <si>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</si>
  <si>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</si>
  <si>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</si>
  <si>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</si>
  <si>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</si>
  <si>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</si>
  <si>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</si>
  <si>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</si>
  <si>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</si>
  <si>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</si>
  <si>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</si>
  <si>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</si>
  <si>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</si>
  <si>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</si>
  <si>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</si>
  <si>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</si>
  <si>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</si>
  <si>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</si>
  <si>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</si>
  <si>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</si>
  <si>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</si>
  <si>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</si>
  <si>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</si>
  <si>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</si>
  <si>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</si>
  <si>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</si>
  <si>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</si>
  <si>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</si>
  <si>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</si>
  <si>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</si>
  <si>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</si>
  <si>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</si>
  <si>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</si>
  <si>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</si>
  <si>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</si>
  <si>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</si>
  <si>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</si>
  <si>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</si>
  <si>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</si>
  <si>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</si>
  <si>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</si>
  <si>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</si>
  <si>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</si>
  <si>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</si>
  <si>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</si>
  <si>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</si>
  <si>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</si>
  <si>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</si>
  <si>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</si>
  <si>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</si>
  <si>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</si>
  <si>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</si>
  <si>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</si>
  <si>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</si>
  <si>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</si>
  <si>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</si>
  <si>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</si>
  <si>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</si>
  <si>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</si>
  <si>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</si>
  <si>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</si>
  <si>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</si>
  <si>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</si>
  <si>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</si>
  <si>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</si>
  <si>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</si>
  <si>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</si>
  <si>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</si>
  <si>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</si>
  <si>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</si>
  <si>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</si>
  <si>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</si>
  <si>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</si>
  <si>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</si>
  <si>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</si>
  <si>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</si>
  <si>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</si>
  <si>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</si>
  <si>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</si>
  <si>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</si>
  <si>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</si>
  <si>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</si>
  <si>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</si>
  <si>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</si>
  <si>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</si>
  <si>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</si>
  <si>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</si>
  <si>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</si>
  <si>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</si>
  <si>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</si>
  <si>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</si>
  <si>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</si>
  <si>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</si>
  <si>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</si>
  <si>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</si>
  <si>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</si>
  <si>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</si>
  <si>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</si>
  <si>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</si>
  <si>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</si>
  <si>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</si>
  <si>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</si>
  <si>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</si>
  <si>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</si>
  <si>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</si>
  <si>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</si>
  <si>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</si>
  <si>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</si>
  <si>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</si>
  <si>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</si>
  <si>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</si>
  <si>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</si>
  <si>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</si>
  <si>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</si>
  <si>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</si>
  <si>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</si>
  <si>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 xml:space="preserve">MC1 07:50, sem oportunidade de faixa, fluxo de trens </t>
  </si>
  <si>
    <t xml:space="preserve">TP pronta 09hrs, sem oportunidade de faixa , fluxo de trens </t>
  </si>
  <si>
    <t xml:space="preserve">MC1 08:12, sem oportunidade de faixa, fluxo de trens </t>
  </si>
  <si>
    <t>ZEC-ZJA</t>
  </si>
  <si>
    <t>ZECZJA</t>
  </si>
  <si>
    <t>Deslocamento ZEC-ZJA</t>
  </si>
  <si>
    <t xml:space="preserve">MC1 08:42, verificando faixa </t>
  </si>
  <si>
    <t xml:space="preserve"> TP pronta 09hrs, sem oportunidade de faixa, fluxo de trens </t>
  </si>
  <si>
    <t xml:space="preserve">MC1 07:53, sem oportunidade de faixa, fluxo de trens </t>
  </si>
  <si>
    <t xml:space="preserve">Aguardando descanso do maquinista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</si>
  <si>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</si>
  <si>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</si>
  <si>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</si>
  <si>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</si>
  <si>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</si>
  <si>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</si>
  <si>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 xml:space="preserve">Previsão TP pronta 09hrs </t>
  </si>
  <si>
    <t xml:space="preserve">MC1 07:47,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</si>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</sst>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tabSelected="1" zoomScaleNormal="100" workbookViewId="0">
      <pane xSplit="5" topLeftCell="M83" activePane="topRight" state="frozen"/>
      <selection pane="topRight" activeCell="B99" sqref="B9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0" t="s">
        <v>968</v>
      </c>
      <c r="C1" s="231"/>
      <c r="D1" s="231"/>
      <c r="E1" s="230" t="s">
        <v>969</v>
      </c>
      <c r="F1" s="231"/>
      <c r="G1" s="232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1"/>
      <c r="Z1" s="231"/>
      <c r="AA1" s="231"/>
      <c r="AB1" s="231"/>
      <c r="AC1" s="231"/>
      <c r="AD1" s="231"/>
      <c r="AE1" s="231"/>
      <c r="AF1" s="233"/>
      <c r="AG1" s="4"/>
      <c r="AH1" s="207" t="s">
        <v>970</v>
      </c>
      <c r="AI1" s="208"/>
      <c r="AJ1" s="208"/>
      <c r="AK1" s="208"/>
      <c r="AL1" s="209"/>
      <c r="AM1" s="210"/>
      <c r="AN1" s="208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11"/>
      <c r="BF1" s="4"/>
      <c r="BG1" s="212" t="s">
        <v>971</v>
      </c>
      <c r="BH1" s="213"/>
      <c r="BI1" s="213"/>
      <c r="BJ1" s="214"/>
      <c r="BK1" s="4"/>
      <c r="BL1" s="204" t="s">
        <v>972</v>
      </c>
      <c r="BM1" s="205"/>
      <c r="BN1" s="205"/>
      <c r="BO1" s="205"/>
      <c r="BP1" s="205"/>
      <c r="BQ1" s="205"/>
      <c r="BR1" s="206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7" t="s">
        <v>973</v>
      </c>
      <c r="AI2" s="208"/>
      <c r="AJ2" s="208"/>
      <c r="AK2" s="208"/>
      <c r="AL2" s="209"/>
      <c r="AM2" s="210"/>
      <c r="AN2" s="208"/>
      <c r="AO2" s="208"/>
      <c r="AP2" s="211"/>
      <c r="AQ2" s="5"/>
      <c r="AR2" s="207" t="s">
        <v>976</v>
      </c>
      <c r="AS2" s="208"/>
      <c r="AT2" s="208"/>
      <c r="AU2" s="208"/>
      <c r="AV2" s="208"/>
      <c r="AW2" s="208"/>
      <c r="AX2" s="211"/>
      <c r="AY2" s="5"/>
      <c r="AZ2" s="221" t="s">
        <v>977</v>
      </c>
      <c r="BA2" s="222"/>
      <c r="BB2" s="207" t="s">
        <v>974</v>
      </c>
      <c r="BC2" s="208"/>
      <c r="BD2" s="208"/>
      <c r="BE2" s="211"/>
      <c r="BF2" s="4"/>
      <c r="BG2" s="215"/>
      <c r="BH2" s="216"/>
      <c r="BI2" s="216"/>
      <c r="BJ2" s="217"/>
      <c r="BK2" s="4"/>
      <c r="BL2" s="218"/>
      <c r="BM2" s="219"/>
      <c r="BN2" s="219"/>
      <c r="BO2" s="219"/>
      <c r="BP2" s="219"/>
      <c r="BQ2" s="219"/>
      <c r="BR2" s="220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1" t="s">
        <v>978</v>
      </c>
      <c r="AI3" s="222"/>
      <c r="AJ3" s="221" t="s">
        <v>979</v>
      </c>
      <c r="AK3" s="227"/>
      <c r="AL3" s="228"/>
      <c r="AM3" s="229"/>
      <c r="AN3" s="227"/>
      <c r="AO3" s="227"/>
      <c r="AP3" s="222"/>
      <c r="AQ3" s="60"/>
      <c r="AR3" s="225" t="s">
        <v>985</v>
      </c>
      <c r="AS3" s="226"/>
      <c r="AT3" s="225" t="s">
        <v>986</v>
      </c>
      <c r="AU3" s="226"/>
      <c r="AV3" s="225" t="s">
        <v>987</v>
      </c>
      <c r="AW3" s="226"/>
      <c r="AX3" s="60" t="s">
        <v>988</v>
      </c>
      <c r="AY3" s="60"/>
      <c r="AZ3" s="223"/>
      <c r="BA3" s="224"/>
      <c r="BB3" s="221" t="s">
        <v>981</v>
      </c>
      <c r="BC3" s="227"/>
      <c r="BD3" s="227"/>
      <c r="BE3" s="222"/>
      <c r="BF3" s="59"/>
      <c r="BG3" s="215"/>
      <c r="BH3" s="216"/>
      <c r="BI3" s="216"/>
      <c r="BJ3" s="217"/>
      <c r="BK3" s="59"/>
      <c r="BL3" s="204" t="s">
        <v>989</v>
      </c>
      <c r="BM3" s="205"/>
      <c r="BN3" s="205"/>
      <c r="BO3" s="206"/>
      <c r="BP3" s="204" t="s">
        <v>773</v>
      </c>
      <c r="BQ3" s="205"/>
      <c r="BR3" s="206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51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50">
        <v>0.35625000000000001</v>
      </c>
      <c r="AR66" s="250">
        <v>0</v>
      </c>
      <c r="AS66" s="250">
        <v>0</v>
      </c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52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5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IF(D68="","*",IFERROR(IF(ISODD(COUNT(AR68:AW1081)),"ERRO",SUM((AS68-AR68),(AU68-AT68),(AW68-AV68))),"ERRO"))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53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IF(D69="","*",IFERROR(IF(ISODD(COUNT(AR69:AW1066)),"ERRO",SUM((AS69-AR69),(AU69-AT69),(AW69-AV69))),"ERRO"))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51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IF(D70="","*",IFERROR(IF(ISODD(COUNT(AR70:AW1067)),"ERRO",SUM((AS70-AR70),(AU70-AT70),(AW70-AV70))),"ERRO"))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51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50">
        <v>0</v>
      </c>
      <c r="AR71" s="250">
        <v>0</v>
      </c>
      <c r="AS71" s="250">
        <v>0</v>
      </c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52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50">
        <v>0.33611111111111114</v>
      </c>
      <c r="AR72" s="250">
        <v>0</v>
      </c>
      <c r="AS72" s="250">
        <v>0</v>
      </c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50">
        <v>0</v>
      </c>
      <c r="AR73" s="250">
        <v>0</v>
      </c>
      <c r="AS73" s="250">
        <v>0</v>
      </c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50">
        <v>0.37430555555555556</v>
      </c>
      <c r="AR74" s="250">
        <v>0</v>
      </c>
      <c r="AS74" s="250">
        <v>0</v>
      </c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IF(D76="","*",IFERROR(IF(ISODD(COUNT(AR76:AW1073)),"ERRO",SUM((AS76-AR76),(AU76-AT76),(AW76-AV76))),"ERRO"))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IF(D79="","*",IFERROR(IF(ISODD(COUNT(AR79:AW1091)),"ERRO",SUM((AS79-AR79),(AU79-AT79),(AW79-AV79))),"ERRO"))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54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471</v>
      </c>
      <c r="BM80" s="130" t="s">
        <v>491</v>
      </c>
      <c r="BN80" s="130" t="s">
        <v>599</v>
      </c>
      <c r="BO80" s="16" t="s">
        <v>1181</v>
      </c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>CCOCirculaçãoIntervaloContrato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55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>
        <f>IF(D81="","*",IFERROR(IF(ISODD(COUNT(AR81:AW1094)),"ERRO",SUM((AS81-AR81),(AU81-AT81),(AW81-AV81))),"ERRO"))</f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55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>IF(D82="","*",IFERROR(IF(ISODD(COUNT(AR82:AW1076)),"ERRO",SUM((AS82-AR82),(AU82-AT82),(AW82-AV82))),"ERRO"))</f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54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>IF(D83="","*",IFERROR(IF(ISODD(COUNT(AR83:AW1077)),"ERRO",SUM((AS83-AR83),(AU83-AT83),(AW83-AV83))),"ERRO"))</f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>CCOCirculaçãoIntervaloContrato</v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54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>
        <f>IF(D84="","*",IFERROR(IF(ISODD(COUNT(AR84:AW1078)),"ERRO",SUM((AS84-AR84),(AU84-AT84),(AW84-AV84))),"ERRO"))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1187</v>
      </c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56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256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 t="s">
        <v>446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>
        <v>0.32847222222222222</v>
      </c>
      <c r="AR86" s="108">
        <v>0</v>
      </c>
      <c r="AS86" s="108">
        <v>0</v>
      </c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>
        <v>0</v>
      </c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>
        <v>0</v>
      </c>
      <c r="BH86" s="16"/>
      <c r="BI86" s="16" t="s">
        <v>1189</v>
      </c>
      <c r="BJ86" s="16" t="s">
        <v>1189</v>
      </c>
      <c r="BK86" s="15"/>
      <c r="BL86" s="130" t="s">
        <v>471</v>
      </c>
      <c r="BM86" s="130" t="s">
        <v>491</v>
      </c>
      <c r="BN86" s="130" t="s">
        <v>599</v>
      </c>
      <c r="BO86" s="16" t="s">
        <v>1189</v>
      </c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>CCOCirculaçãoIntervaloContrato</v>
      </c>
    </row>
    <row r="87" spans="1:7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 t="s">
        <v>455</v>
      </c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>
        <v>0.375</v>
      </c>
      <c r="AR87" s="108">
        <v>0</v>
      </c>
      <c r="AS87" s="108">
        <v>0</v>
      </c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>
        <v>0</v>
      </c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>
        <v>0</v>
      </c>
      <c r="BH87" s="16"/>
      <c r="BI87" s="16" t="s">
        <v>1182</v>
      </c>
      <c r="BJ87" s="16" t="s">
        <v>1182</v>
      </c>
      <c r="BK87" s="15"/>
      <c r="BL87" s="130" t="s">
        <v>471</v>
      </c>
      <c r="BM87" s="130" t="s">
        <v>500</v>
      </c>
      <c r="BN87" s="130" t="s">
        <v>561</v>
      </c>
      <c r="BO87" s="16" t="s">
        <v>1182</v>
      </c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>CCOCirculaçãoIntervaloOportunidade</v>
      </c>
    </row>
    <row r="88" spans="1:7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 t="s">
        <v>455</v>
      </c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 t="s">
        <v>1190</v>
      </c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>
      <c r="A89" s="45" t="str">
        <f>D89&amp;B89</f>
        <v>TURMA FIXA VIA 46059</v>
      </c>
      <c r="B89" s="185">
        <v>46059</v>
      </c>
      <c r="C89" s="134">
        <f>IF(BS_CONTROLE[[#This Row],[DATA]]="","",WEEKNUM(BS_CONTROLE[[#This Row],[DATA]]))</f>
        <v>6</v>
      </c>
      <c r="D89" s="104" t="s">
        <v>873</v>
      </c>
      <c r="E89" s="126" t="s">
        <v>810</v>
      </c>
      <c r="F89" s="142" t="str">
        <f>IF(D89="","*",VLOOKUP(E89,BS_ATIVIDADE[],3,FALSE))</f>
        <v>DORMENTE - SUBSTITUIÇÂO</v>
      </c>
      <c r="G89" s="106" t="s">
        <v>624</v>
      </c>
      <c r="H89" s="106" t="s">
        <v>624</v>
      </c>
      <c r="I89" s="105">
        <v>71</v>
      </c>
      <c r="J89" s="105">
        <v>208</v>
      </c>
      <c r="K89" s="105" t="s">
        <v>624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89" s="106">
        <v>0.33333333333333331</v>
      </c>
      <c r="O89" s="106">
        <v>8.3333333333333329E-2</v>
      </c>
      <c r="P89" s="105">
        <v>30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89" s="105" t="s">
        <v>1191</v>
      </c>
      <c r="V89" s="151" t="s">
        <v>1192</v>
      </c>
      <c r="W89" s="104" t="s">
        <v>452</v>
      </c>
      <c r="X89" s="129" t="s">
        <v>455</v>
      </c>
      <c r="Y89" s="104"/>
      <c r="Z89" s="189"/>
      <c r="AA89" s="190"/>
      <c r="AB89" s="190"/>
      <c r="AC89" s="191"/>
      <c r="AD89" s="189"/>
      <c r="AE89" s="189"/>
      <c r="AF89" s="127"/>
      <c r="AG89" s="14"/>
      <c r="AH89" s="126" t="str">
        <f>IF(BS_CONTROLE[[#This Row],[Atividade]]=0, "-", BS_CONTROLE[[#This Row],[Atividade]])</f>
        <v>PDM - SUBSTITUIÇÃO - DORMENTE</v>
      </c>
      <c r="AI89" s="8" t="str">
        <f>IF(BS_CONTROLE[[#This Row],[Atividade]]=0, "-", BS_CONTROLE[[#This Row],[Atividade]])</f>
        <v>PDM - SUBSTITUIÇÃO - DORMENTE</v>
      </c>
      <c r="AJ89" s="30" t="str">
        <f>BS_CONTROLE[[#This Row],[Local - Partida]]</f>
        <v>-</v>
      </c>
      <c r="AK89" s="30" t="str">
        <f>BS_CONTROLE[[#This Row],[Local - Encerramento]]</f>
        <v>-</v>
      </c>
      <c r="AL89" s="105" t="str">
        <f>IF(BS_CONTROLE[[#This Row],[Entre - Estações]]=0, "-", BS_CONTROLE[[#This Row],[Entre - Estações]])</f>
        <v>ZSK-ZXH</v>
      </c>
      <c r="AM89" s="105" t="str">
        <f>IF(BS_CONTROLE[[#This Row],[SB]]=0, "-", BS_CONTROLE[[#This Row],[SB]])</f>
        <v>ZSK208</v>
      </c>
      <c r="AN89" s="105">
        <f>IF(BS_CONTROLE[[#This Row],[SUB]]=0, "-", BS_CONTROLE[[#This Row],[SUB]])</f>
        <v>71</v>
      </c>
      <c r="AO89" s="105">
        <f>BS_CONTROLE[[#This Row],[KM - Inicio]]</f>
        <v>208</v>
      </c>
      <c r="AP89" s="105">
        <f>BS_CONTROLE[[#This Row],[KM - Inicio]]</f>
        <v>208</v>
      </c>
      <c r="AQ89" s="108">
        <v>0</v>
      </c>
      <c r="AR89" s="108">
        <v>0</v>
      </c>
      <c r="AS89" s="108">
        <v>0</v>
      </c>
      <c r="AT89" s="135"/>
      <c r="AU89" s="135"/>
      <c r="AV89" s="13"/>
      <c r="AW89" s="13"/>
      <c r="AX89" s="192">
        <f>IF(D89="","*",IFERROR(IF(ISODD(COUNT(AR89:AW1103)),"ERRO",SUM((AS89-AR89),(AU89-AT89),(AW89-AV89))),"ERRO"))</f>
        <v>0</v>
      </c>
      <c r="AY89" s="153"/>
      <c r="AZ89" s="109">
        <v>0</v>
      </c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89" s="150" t="str">
        <f>BS_CONTROLE[[#This Row],[Responsavel pelo boletim]]</f>
        <v xml:space="preserve">Marcone </v>
      </c>
      <c r="BF89" s="15"/>
      <c r="BG89" s="16">
        <v>0</v>
      </c>
      <c r="BH89" s="16"/>
      <c r="BI89" s="16" t="s">
        <v>1193</v>
      </c>
      <c r="BJ89" s="16" t="s">
        <v>1193</v>
      </c>
      <c r="BK89" s="15"/>
      <c r="BL89" s="130" t="s">
        <v>472</v>
      </c>
      <c r="BM89" s="130" t="s">
        <v>501</v>
      </c>
      <c r="BN89" s="130" t="s">
        <v>552</v>
      </c>
      <c r="BO89" s="16" t="s">
        <v>1193</v>
      </c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ref="BS89:BS132" si="5">IF(BM89="","",SUBSTITUTE(BL89," ","")&amp;SUBSTITUTE(BM89," ",""))</f>
        <v>SuperExecução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86" t="s">
        <v>873</v>
      </c>
      <c r="E90" s="187" t="s">
        <v>784</v>
      </c>
      <c r="F90" s="142" t="str">
        <f>IF(D90="","*",VLOOKUP(E90,BS_ATIVIDADE[],3,FALSE))</f>
        <v>AMV</v>
      </c>
      <c r="G90" s="188" t="s">
        <v>624</v>
      </c>
      <c r="H90" s="188" t="s">
        <v>624</v>
      </c>
      <c r="I90" s="127">
        <v>71</v>
      </c>
      <c r="J90" s="127">
        <v>182.7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0" s="127" t="s">
        <v>1194</v>
      </c>
      <c r="N90" s="106">
        <v>0.58333333333333337</v>
      </c>
      <c r="O90" s="106">
        <v>6.25E-2</v>
      </c>
      <c r="P90" s="105">
        <v>1</v>
      </c>
      <c r="Q90" s="9" t="str">
        <f>IF(E90=0, "*", IFERROR(_xlfn.XLOOKUP(E90, BS_ATIVIDADE[ATIVIDADE], BS_ATIVIDADE[UNIDADE]), "*"))</f>
        <v>Nº DE PEÇAS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05" t="s">
        <v>1196</v>
      </c>
      <c r="W90" s="104" t="s">
        <v>452</v>
      </c>
      <c r="X90" s="129"/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AMV - MEIA CHAVE</v>
      </c>
      <c r="AI90" s="8" t="str">
        <f>IF(BS_CONTROLE[[#This Row],[Atividade]]=0, "-", BS_CONTROLE[[#This Row],[Atividade]])</f>
        <v>PDM - AMV - MEIA CHAVE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ZVI</v>
      </c>
      <c r="AM90" s="105" t="str">
        <f>IF(BS_CONTROLE[[#This Row],[SB]]=0, "-", BS_CONTROLE[[#This Row],[SB]])</f>
        <v>ZVIS</v>
      </c>
      <c r="AN90" s="105">
        <f>IF(BS_CONTROLE[[#This Row],[SUB]]=0, "-", BS_CONTROLE[[#This Row],[SUB]])</f>
        <v>71</v>
      </c>
      <c r="AO90" s="105">
        <f>BS_CONTROLE[[#This Row],[KM - Inicio]]</f>
        <v>182.7</v>
      </c>
      <c r="AP90" s="105">
        <f>BS_CONTROLE[[#This Row],[KM - Inicio]]</f>
        <v>182.7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IF(D90="","*",IFERROR(IF(ISODD(COUNT(AR90:AW1105)),"ERRO",SUM((AS90-AR90),(AU90-AT90),(AW90-AV90))),"ERRO"))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PEÇAS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Rodrigo </v>
      </c>
      <c r="BF90" s="15"/>
      <c r="BG90" s="16"/>
      <c r="BH90" s="16"/>
      <c r="BI90" s="16" t="s">
        <v>1197</v>
      </c>
      <c r="BJ90" s="17"/>
      <c r="BK90" s="15"/>
      <c r="BL90" s="130"/>
      <c r="BM90" s="130"/>
      <c r="BN90" s="130"/>
      <c r="BO90" s="193"/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si="5"/>
        <v/>
      </c>
    </row>
    <row r="91" spans="1:71">
      <c r="A91" s="45" t="str">
        <f t="shared" ref="A91:A153" si="6">D91&amp;B91</f>
        <v>V8346059</v>
      </c>
      <c r="B91" s="102">
        <v>46059</v>
      </c>
      <c r="C91" s="134">
        <f>IF(BS_CONTROLE[[#This Row],[DATA]]="","",WEEKNUM(BS_CONTROLE[[#This Row],[DATA]]))</f>
        <v>6</v>
      </c>
      <c r="D91" s="104" t="s">
        <v>822</v>
      </c>
      <c r="E91" s="126" t="s">
        <v>729</v>
      </c>
      <c r="F91" s="142" t="str">
        <f>IF(D91="","*",VLOOKUP(E91,BS_ATIVIDADE[],3,FALSE))</f>
        <v>MECANIZAÇÃO - SOCADORA</v>
      </c>
      <c r="G91" s="106" t="s">
        <v>57</v>
      </c>
      <c r="H91" s="106" t="s">
        <v>55</v>
      </c>
      <c r="I91" s="105">
        <v>70</v>
      </c>
      <c r="J91" s="105">
        <v>139</v>
      </c>
      <c r="K91" s="105">
        <v>139.30000000000001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1" s="127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1" s="106">
        <v>0.35416666666666669</v>
      </c>
      <c r="O91" s="106">
        <v>8.3333333333333329E-2</v>
      </c>
      <c r="P91" s="105">
        <v>300</v>
      </c>
      <c r="Q91" s="9" t="str">
        <f>IF(E91=0, "*", IFERROR(_xlfn.XLOOKUP(E91, BS_ATIVIDADE[ATIVIDADE], BS_ATIVIDADE[UNIDADE]), "*"))</f>
        <v>M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1" s="105" t="s">
        <v>1060</v>
      </c>
      <c r="V91" s="105" t="s">
        <v>1061</v>
      </c>
      <c r="W91" s="104" t="s">
        <v>452</v>
      </c>
      <c r="X91" s="129" t="s">
        <v>455</v>
      </c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MECANIZAÇÃO - SOCADORA</v>
      </c>
      <c r="AI91" s="8" t="str">
        <f>IF(BS_CONTROLE[[#This Row],[Atividade]]=0, "-", BS_CONTROLE[[#This Row],[Atividade]])</f>
        <v>MECANIZAÇÃO - SOCADORA</v>
      </c>
      <c r="AJ91" s="30" t="str">
        <f>BS_CONTROLE[[#This Row],[Local - Partida]]</f>
        <v>ZIQ2</v>
      </c>
      <c r="AK91" s="30" t="str">
        <f>BS_CONTROLE[[#This Row],[Local - Encerramento]]</f>
        <v>ZIQ</v>
      </c>
      <c r="AL91" s="105" t="str">
        <f>IF(BS_CONTROLE[[#This Row],[Entre - Estações]]=0, "-", BS_CONTROLE[[#This Row],[Entre - Estações]])</f>
        <v>ZRQ-ZQX</v>
      </c>
      <c r="AM91" s="105">
        <f>IF(BS_CONTROLE[[#This Row],[SB]]=0, "-", BS_CONTROLE[[#This Row],[SB]])</f>
        <v>1381391</v>
      </c>
      <c r="AN91" s="105">
        <f>IF(BS_CONTROLE[[#This Row],[SUB]]=0, "-", BS_CONTROLE[[#This Row],[SUB]])</f>
        <v>70</v>
      </c>
      <c r="AO91" s="105">
        <f>BS_CONTROLE[[#This Row],[KM - Inicio]]</f>
        <v>139</v>
      </c>
      <c r="AP91" s="105">
        <f>BS_CONTROLE[[#This Row],[KM - Inicio]]</f>
        <v>139</v>
      </c>
      <c r="AQ91" s="108">
        <v>0.32430555555555557</v>
      </c>
      <c r="AR91" s="108">
        <v>0</v>
      </c>
      <c r="AS91" s="108">
        <v>0</v>
      </c>
      <c r="AT91" s="135"/>
      <c r="AU91" s="135"/>
      <c r="AV91" s="13"/>
      <c r="AW91" s="13"/>
      <c r="AX91" s="178">
        <f>IF(D91="","*",IFERROR(IF(ISODD(COUNT(AR91:AW1084)),"ERRO",SUM((AS91-AR91),(AU91-AT91),(AW91-AV91))),"ERRO"))</f>
        <v>0</v>
      </c>
      <c r="AY91" s="153"/>
      <c r="AZ91" s="109">
        <v>0</v>
      </c>
      <c r="BA91" s="9" t="str">
        <f>IFERROR(_xlfn.XLOOKUP(AH91, BS_ATIVIDADE[ATIVIDADE],BS_ATIVIDADE[UNIDADE] ), "*")</f>
        <v>M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1" s="150"/>
      <c r="BF91" s="15"/>
      <c r="BG91" s="16">
        <v>0</v>
      </c>
      <c r="BH91" s="16"/>
      <c r="BI91" s="16" t="s">
        <v>1198</v>
      </c>
      <c r="BJ91" s="16" t="s">
        <v>1198</v>
      </c>
      <c r="BK91" s="15"/>
      <c r="BL91" s="130" t="s">
        <v>471</v>
      </c>
      <c r="BM91" s="130" t="s">
        <v>500</v>
      </c>
      <c r="BN91" s="130" t="s">
        <v>561</v>
      </c>
      <c r="BO91" s="16" t="s">
        <v>1198</v>
      </c>
      <c r="BP91" s="11" t="str">
        <f t="shared" ref="BP91:BP153" si="7"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si="5"/>
        <v>CCOCirculaçãoIntervaloOportunidade</v>
      </c>
    </row>
    <row r="92" spans="1:71">
      <c r="A92" s="45" t="str">
        <f t="shared" si="6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7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5"/>
        <v/>
      </c>
    </row>
    <row r="93" spans="1:71">
      <c r="A93" s="45" t="str">
        <f t="shared" si="6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7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5"/>
        <v/>
      </c>
    </row>
    <row r="94" spans="1:71">
      <c r="A94" s="45" t="str">
        <f t="shared" si="6"/>
        <v>V8746060</v>
      </c>
      <c r="B94" s="102">
        <v>46060</v>
      </c>
      <c r="C94" s="134">
        <f>IF(BS_CONTROLE[[#This Row],[DATA]]="","",WEEKNUM(BS_CONTROLE[[#This Row],[DATA]]))</f>
        <v>6</v>
      </c>
      <c r="D94" s="180" t="s">
        <v>830</v>
      </c>
      <c r="E94" s="187" t="s">
        <v>729</v>
      </c>
      <c r="F94" s="142" t="str">
        <f>IF(D94="","*",VLOOKUP(E94,BS_ATIVIDADE[],3,FALSE))</f>
        <v>MECANIZAÇÃO - SOCADORA</v>
      </c>
      <c r="G94" s="254" t="s">
        <v>334</v>
      </c>
      <c r="H94" s="106" t="s">
        <v>332</v>
      </c>
      <c r="I94" s="105">
        <v>73</v>
      </c>
      <c r="J94" s="105">
        <v>293.8</v>
      </c>
      <c r="K94" s="105">
        <v>291</v>
      </c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94" s="188">
        <v>0.34722222222222221</v>
      </c>
      <c r="O94" s="106">
        <v>8.3333333333333329E-2</v>
      </c>
      <c r="P94" s="105">
        <v>800</v>
      </c>
      <c r="Q94" s="9" t="str">
        <f>IF(E94=0, "*", IFERROR(_xlfn.XLOOKUP(E94, BS_ATIVIDADE[ATIVIDADE], BS_ATIVIDADE[UNIDADE]), "*"))</f>
        <v>M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4" s="105" t="s">
        <v>1060</v>
      </c>
      <c r="V94" s="105" t="s">
        <v>1061</v>
      </c>
      <c r="W94" s="104" t="s">
        <v>452</v>
      </c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MECANIZAÇÃO - SOCADORA</v>
      </c>
      <c r="AI94" s="8" t="str">
        <f>IF(BS_CONTROLE[[#This Row],[Atividade]]=0, "-", BS_CONTROLE[[#This Row],[Atividade]])</f>
        <v>MECANIZAÇÃO - SOCADORA</v>
      </c>
      <c r="AJ94" s="30" t="str">
        <f>BS_CONTROLE[[#This Row],[Local - Partida]]</f>
        <v>ZDP2</v>
      </c>
      <c r="AK94" s="30" t="str">
        <f>BS_CONTROLE[[#This Row],[Local - Encerramento]]</f>
        <v>ZDP</v>
      </c>
      <c r="AL94" s="105" t="str">
        <f>IF(BS_CONTROLE[[#This Row],[Entre - Estações]]=0, "-", BS_CONTROLE[[#This Row],[Entre - Estações]])</f>
        <v>ZZM-ZCF</v>
      </c>
      <c r="AM94" s="105" t="str">
        <f>IF(BS_CONTROLE[[#This Row],[SB]]=0, "-", BS_CONTROLE[[#This Row],[SB]])</f>
        <v>293ZCF1</v>
      </c>
      <c r="AN94" s="105">
        <f>IF(BS_CONTROLE[[#This Row],[SUB]]=0, "-", BS_CONTROLE[[#This Row],[SUB]])</f>
        <v>73</v>
      </c>
      <c r="AO94" s="105">
        <f>BS_CONTROLE[[#This Row],[KM - Inicio]]</f>
        <v>293.8</v>
      </c>
      <c r="AP94" s="105">
        <f>BS_CONTROLE[[#This Row],[KM - Inicio]]</f>
        <v>293.8</v>
      </c>
      <c r="AQ94" s="108"/>
      <c r="AR94" s="108"/>
      <c r="AS94" s="108"/>
      <c r="AT94" s="135"/>
      <c r="AU94" s="135"/>
      <c r="AV94" s="13"/>
      <c r="AW94" s="13"/>
      <c r="AX94" s="178">
        <f>IF(D94="","*",IFERROR(IF(ISODD(COUNT(AR94:AW1088)),"ERRO",SUM((AS94-AR94),(AU94-AT94),(AW94-AV94))),"ERRO"))</f>
        <v>0</v>
      </c>
      <c r="AY94" s="153"/>
      <c r="AZ94" s="109"/>
      <c r="BA94" s="9" t="str">
        <f>IFERROR(_xlfn.XLOOKUP(AH94, BS_ATIVIDADE[ATIVIDADE],BS_ATIVIDADE[UNIDADE] ), "*")</f>
        <v>M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Produção e Intervalo</v>
      </c>
      <c r="BQ94" s="18">
        <f>IF(OR(B94="",E94=""),"*",AX94/O94)</f>
        <v>0</v>
      </c>
      <c r="BR94" s="18">
        <f>IF(OR(B94="",E94=""),"*",AZ94/P94)</f>
        <v>0</v>
      </c>
      <c r="BS94" s="7" t="str">
        <f t="shared" si="5"/>
        <v/>
      </c>
    </row>
    <row r="95" spans="1:71">
      <c r="A95" s="45" t="str">
        <f t="shared" si="6"/>
        <v>JOVÂNIO (TP-850)46060</v>
      </c>
      <c r="B95" s="102">
        <v>46060</v>
      </c>
      <c r="C95" s="134">
        <f>IF(BS_CONTROLE[[#This Row],[DATA]]="","",WEEKNUM(BS_CONTROLE[[#This Row],[DATA]]))</f>
        <v>6</v>
      </c>
      <c r="D95" s="180" t="s">
        <v>927</v>
      </c>
      <c r="E95" s="126" t="s">
        <v>806</v>
      </c>
      <c r="F95" s="142" t="str">
        <f>IF(D95="","*",VLOOKUP(E95,BS_ATIVIDADE[],3,FALSE))</f>
        <v>SOLDA</v>
      </c>
      <c r="G95" s="255" t="s">
        <v>624</v>
      </c>
      <c r="H95" s="150" t="s">
        <v>624</v>
      </c>
      <c r="I95" s="105">
        <v>73</v>
      </c>
      <c r="J95" s="105">
        <v>268</v>
      </c>
      <c r="K95" s="105" t="s">
        <v>624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5" s="188">
        <v>0.375</v>
      </c>
      <c r="O95" s="106">
        <v>6.25E-2</v>
      </c>
      <c r="P95" s="105">
        <v>1</v>
      </c>
      <c r="Q95" s="9" t="str">
        <f>IF(E95=0, "*", IFERROR(_xlfn.XLOOKUP(E95, BS_ATIVIDADE[ATIVIDADE], BS_ATIVIDADE[UNIDADE]), "*"))</f>
        <v>Nº DE SOLDA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1074</v>
      </c>
      <c r="V95" s="105" t="s">
        <v>1075</v>
      </c>
      <c r="W95" s="104" t="s">
        <v>452</v>
      </c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PDM - SOLDA</v>
      </c>
      <c r="AI95" s="8" t="str">
        <f>IF(BS_CONTROLE[[#This Row],[Atividade]]=0, "-", BS_CONTROLE[[#This Row],[Atividade]])</f>
        <v>PDM - SOLDA</v>
      </c>
      <c r="AJ95" s="30" t="str">
        <f>BS_CONTROLE[[#This Row],[Local - Partida]]</f>
        <v>-</v>
      </c>
      <c r="AK95" s="30" t="str">
        <f>BS_CONTROLE[[#This Row],[Local - Encerramento]]</f>
        <v>-</v>
      </c>
      <c r="AL95" s="105" t="str">
        <f>IF(BS_CONTROLE[[#This Row],[Entre - Estações]]=0, "-", BS_CONTROLE[[#This Row],[Entre - Estações]])</f>
        <v>ZEC-ZKY</v>
      </c>
      <c r="AM95" s="105">
        <f>IF(BS_CONTROLE[[#This Row],[SB]]=0, "-", BS_CONTROLE[[#This Row],[SB]])</f>
        <v>267271</v>
      </c>
      <c r="AN95" s="105">
        <f>IF(BS_CONTROLE[[#This Row],[SUB]]=0, "-", BS_CONTROLE[[#This Row],[SUB]])</f>
        <v>73</v>
      </c>
      <c r="AO95" s="105">
        <f>BS_CONTROLE[[#This Row],[KM - Inicio]]</f>
        <v>268</v>
      </c>
      <c r="AP95" s="105">
        <f>BS_CONTROLE[[#This Row],[KM - Inicio]]</f>
        <v>268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IF(D95="","*",IFERROR(IF(ISODD(COUNT(AR95:AW1089)),"ERRO",SUM((AS95-AR95),(AU95-AT95),(AW95-AV95))),"ERRO"))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Nº DE SOLDA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5"/>
        <v/>
      </c>
    </row>
    <row r="96" spans="1:71">
      <c r="A96" s="45" t="str">
        <f t="shared" si="6"/>
        <v>JULIO CÉSAR (TP-701)46060</v>
      </c>
      <c r="B96" s="102">
        <v>46060</v>
      </c>
      <c r="C96" s="134">
        <f>IF(BS_CONTROLE[[#This Row],[DATA]]="","",WEEKNUM(BS_CONTROLE[[#This Row],[DATA]]))</f>
        <v>6</v>
      </c>
      <c r="D96" s="180" t="s">
        <v>931</v>
      </c>
      <c r="E96" s="126" t="s">
        <v>806</v>
      </c>
      <c r="F96" s="142" t="str">
        <f>IF(D96="","*",VLOOKUP(E96,BS_ATIVIDADE[],3,FALSE))</f>
        <v>SOLDA</v>
      </c>
      <c r="G96" s="255" t="s">
        <v>624</v>
      </c>
      <c r="H96" s="150" t="s">
        <v>624</v>
      </c>
      <c r="I96" s="105">
        <v>73</v>
      </c>
      <c r="J96" s="105">
        <v>169.7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ZUC-ZCG</v>
      </c>
      <c r="AM96" s="105" t="str">
        <f>IF(BS_CONTROLE[[#This Row],[SB]]=0, "-", BS_CONTROLE[[#This Row],[SB]])</f>
        <v>ZUC173</v>
      </c>
      <c r="AN96" s="105">
        <f>IF(BS_CONTROLE[[#This Row],[SUB]]=0, "-", BS_CONTROLE[[#This Row],[SUB]])</f>
        <v>73</v>
      </c>
      <c r="AO96" s="105">
        <f>BS_CONTROLE[[#This Row],[KM - Inicio]]</f>
        <v>169.7</v>
      </c>
      <c r="AP96" s="105">
        <f>BS_CONTROLE[[#This Row],[KM - Inicio]]</f>
        <v>169.7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IF(D96="","*",IFERROR(IF(ISODD(COUNT(AR96:AW1090)),"ERRO",SUM((AS96-AR96),(AU96-AT96),(AW96-AV96))),"ERRO"))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5"/>
        <v/>
      </c>
    </row>
    <row r="97" spans="1:71">
      <c r="A97" s="45" t="str">
        <f t="shared" si="6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7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5"/>
        <v/>
      </c>
    </row>
    <row r="98" spans="1:71">
      <c r="A98" s="45" t="str">
        <f t="shared" si="6"/>
        <v>TURMA FIXA VIA 46060</v>
      </c>
      <c r="B98" s="102">
        <v>46060</v>
      </c>
      <c r="C98" s="134">
        <f>IF(BS_CONTROLE[[#This Row],[DATA]]="","",WEEKNUM(BS_CONTROLE[[#This Row],[DATA]]))</f>
        <v>6</v>
      </c>
      <c r="D98" s="104" t="s">
        <v>873</v>
      </c>
      <c r="E98" s="126" t="s">
        <v>810</v>
      </c>
      <c r="F98" s="142" t="str">
        <f>IF(D98="","*",VLOOKUP(E98,BS_ATIVIDADE[],3,FALSE))</f>
        <v>DORMENTE - SUBSTITUIÇÂO</v>
      </c>
      <c r="G98" s="106" t="s">
        <v>624</v>
      </c>
      <c r="H98" s="106" t="s">
        <v>624</v>
      </c>
      <c r="I98" s="105">
        <v>71</v>
      </c>
      <c r="J98" s="105">
        <v>208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8" s="106">
        <v>0.33333333333333331</v>
      </c>
      <c r="O98" s="106">
        <v>8.3333333333333329E-2</v>
      </c>
      <c r="P98" s="105">
        <v>30</v>
      </c>
      <c r="Q98" s="9" t="str">
        <f>IF(E98=0, "*", IFERROR(_xlfn.XLOOKUP(E98, BS_ATIVIDADE[ATIVIDADE], BS_ATIVIDADE[UNIDADE]), "*"))</f>
        <v>Nº DE DORMENTES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8" s="105" t="s">
        <v>1191</v>
      </c>
      <c r="V98" s="151" t="s">
        <v>1192</v>
      </c>
      <c r="W98" s="104" t="s">
        <v>452</v>
      </c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SUBSTITUIÇÃO - DORMENTE</v>
      </c>
      <c r="AI98" s="8" t="str">
        <f>IF(BS_CONTROLE[[#This Row],[Atividade]]=0, "-", BS_CONTROLE[[#This Row],[Atividade]])</f>
        <v>PDM - SUBSTITUIÇÃO - DORMENTE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ZSK-ZXH</v>
      </c>
      <c r="AM98" s="105" t="str">
        <f>IF(BS_CONTROLE[[#This Row],[SB]]=0, "-", BS_CONTROLE[[#This Row],[SB]])</f>
        <v>ZSK208</v>
      </c>
      <c r="AN98" s="105">
        <f>IF(BS_CONTROLE[[#This Row],[SUB]]=0, "-", BS_CONTROLE[[#This Row],[SUB]])</f>
        <v>71</v>
      </c>
      <c r="AO98" s="105">
        <f>BS_CONTROLE[[#This Row],[KM - Inicio]]</f>
        <v>208</v>
      </c>
      <c r="AP98" s="105">
        <f>BS_CONTROLE[[#This Row],[KM - Inicio]]</f>
        <v>208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IF(D98="","*",IFERROR(IF(ISODD(COUNT(AR98:AW1092)),"ERRO",SUM((AS98-AR98),(AU98-AT98),(AW98-AV98))),"ERRO"))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DORMENTES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7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5"/>
        <v/>
      </c>
    </row>
    <row r="99" spans="1:71">
      <c r="A99" s="45" t="str">
        <f t="shared" si="6"/>
        <v>V8346060</v>
      </c>
      <c r="B99" s="102">
        <v>46060</v>
      </c>
      <c r="C99" s="134">
        <f>IF(BS_CONTROLE[[#This Row],[DATA]]="","",WEEKNUM(BS_CONTROLE[[#This Row],[DATA]]))</f>
        <v>6</v>
      </c>
      <c r="D99" s="104" t="s">
        <v>822</v>
      </c>
      <c r="E99" s="126" t="s">
        <v>729</v>
      </c>
      <c r="F99" s="142" t="str">
        <f>IF(D99="","*",VLOOKUP(E99,BS_ATIVIDADE[],3,FALSE))</f>
        <v>MECANIZAÇÃO - SOCADORA</v>
      </c>
      <c r="G99" s="106" t="s">
        <v>57</v>
      </c>
      <c r="H99" s="106" t="s">
        <v>55</v>
      </c>
      <c r="I99" s="105">
        <v>70</v>
      </c>
      <c r="J99" s="105">
        <v>139</v>
      </c>
      <c r="K99" s="105">
        <v>139.30000000000001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9" s="127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9" s="106">
        <v>0.35416666666666669</v>
      </c>
      <c r="O99" s="106">
        <v>8.3333333333333329E-2</v>
      </c>
      <c r="P99" s="105">
        <v>300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9" s="105" t="s">
        <v>1060</v>
      </c>
      <c r="V99" s="105" t="s">
        <v>1061</v>
      </c>
      <c r="W99" s="104" t="s">
        <v>452</v>
      </c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ZIQ2</v>
      </c>
      <c r="AK99" s="30" t="str">
        <f>BS_CONTROLE[[#This Row],[Local - Encerramento]]</f>
        <v>ZIQ</v>
      </c>
      <c r="AL99" s="105" t="str">
        <f>IF(BS_CONTROLE[[#This Row],[Entre - Estações]]=0, "-", BS_CONTROLE[[#This Row],[Entre - Estações]])</f>
        <v>ZRQ-ZQX</v>
      </c>
      <c r="AM99" s="105">
        <f>IF(BS_CONTROLE[[#This Row],[SB]]=0, "-", BS_CONTROLE[[#This Row],[SB]])</f>
        <v>1381391</v>
      </c>
      <c r="AN99" s="105">
        <f>IF(BS_CONTROLE[[#This Row],[SUB]]=0, "-", BS_CONTROLE[[#This Row],[SUB]])</f>
        <v>70</v>
      </c>
      <c r="AO99" s="105">
        <f>BS_CONTROLE[[#This Row],[KM - Inicio]]</f>
        <v>139</v>
      </c>
      <c r="AP99" s="105">
        <f>BS_CONTROLE[[#This Row],[KM - Inicio]]</f>
        <v>139</v>
      </c>
      <c r="AQ99" s="108"/>
      <c r="AR99" s="108"/>
      <c r="AS99" s="108"/>
      <c r="AT99" s="135"/>
      <c r="AU99" s="135"/>
      <c r="AV99" s="13"/>
      <c r="AW99" s="13"/>
      <c r="AX99" s="178">
        <f>IF(D99="","*",IFERROR(IF(ISODD(COUNT(AR99:AW1093)),"ERRO",SUM((AS99-AR99),(AU99-AT99),(AW99-AV99))),"ERRO"))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7"/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5"/>
        <v/>
      </c>
    </row>
    <row r="100" spans="1:71">
      <c r="A100" s="45" t="str">
        <f t="shared" si="6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7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5"/>
        <v/>
      </c>
    </row>
    <row r="101" spans="1:71">
      <c r="A101" s="45" t="str">
        <f t="shared" si="6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5"/>
        <v/>
      </c>
    </row>
    <row r="102" spans="1:71">
      <c r="A102" s="45" t="str">
        <f t="shared" si="6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7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5"/>
        <v/>
      </c>
    </row>
    <row r="103" spans="1:71">
      <c r="A103" s="45" t="str">
        <f t="shared" si="6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5"/>
        <v/>
      </c>
    </row>
    <row r="104" spans="1:71">
      <c r="A104" s="45" t="str">
        <f t="shared" si="6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5"/>
        <v/>
      </c>
    </row>
    <row r="105" spans="1:7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5"/>
        <v/>
      </c>
    </row>
    <row r="106" spans="1:71">
      <c r="A106" s="45" t="str">
        <f t="shared" si="6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5"/>
        <v/>
      </c>
    </row>
    <row r="107" spans="1:71">
      <c r="A107" s="45" t="str">
        <f t="shared" si="6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5"/>
        <v/>
      </c>
    </row>
    <row r="108" spans="1:71">
      <c r="A108" s="45" t="str">
        <f t="shared" si="6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7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5"/>
        <v/>
      </c>
    </row>
    <row r="109" spans="1:71">
      <c r="A109" s="45" t="str">
        <f t="shared" si="6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7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5"/>
        <v/>
      </c>
    </row>
    <row r="110" spans="1:71">
      <c r="A110" s="45" t="str">
        <f t="shared" si="6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7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5"/>
        <v/>
      </c>
    </row>
    <row r="111" spans="1:71">
      <c r="A111" s="45" t="str">
        <f t="shared" si="6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5"/>
        <v/>
      </c>
    </row>
    <row r="112" spans="1:7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5"/>
        <v/>
      </c>
    </row>
    <row r="113" spans="1:7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5"/>
        <v/>
      </c>
    </row>
    <row r="114" spans="1:71">
      <c r="A114" s="45" t="str">
        <f t="shared" si="6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5"/>
        <v/>
      </c>
    </row>
    <row r="115" spans="1:71">
      <c r="A115" s="45" t="str">
        <f t="shared" si="6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7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5"/>
        <v/>
      </c>
    </row>
    <row r="116" spans="1:71">
      <c r="A116" s="45" t="str">
        <f t="shared" si="6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7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5"/>
        <v/>
      </c>
    </row>
    <row r="117" spans="1:71">
      <c r="A117" s="45" t="str">
        <f t="shared" si="6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7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5"/>
        <v/>
      </c>
    </row>
    <row r="118" spans="1:71">
      <c r="A118" s="45" t="str">
        <f t="shared" si="6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7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5"/>
        <v/>
      </c>
    </row>
    <row r="119" spans="1:71">
      <c r="A119" s="45" t="str">
        <f t="shared" si="6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7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5"/>
        <v/>
      </c>
    </row>
    <row r="120" spans="1:71">
      <c r="A120" s="45" t="str">
        <f t="shared" si="6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7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5"/>
        <v/>
      </c>
    </row>
    <row r="121" spans="1:71">
      <c r="A121" s="45" t="str">
        <f t="shared" si="6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7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5"/>
        <v/>
      </c>
    </row>
    <row r="122" spans="1:71">
      <c r="A122" s="45" t="str">
        <f t="shared" si="6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7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5"/>
        <v/>
      </c>
    </row>
    <row r="123" spans="1:71">
      <c r="A123" s="45" t="str">
        <f t="shared" si="6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ref="BS92:BS153" si="8">IF(BM133="","",SUBSTITUTE(BL133," ","")&amp;SUBSTITUTE(BM133," ",""))</f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4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1 V99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19">
    <cfRule type="cellIs" dxfId="189" priority="54285" operator="equal">
      <formula>"OPORTUNIDADE"</formula>
    </cfRule>
  </conditionalFormatting>
  <conditionalFormatting sqref="X6:Y27 X41:Y41 Y40 X44:Y45 Y42:Y43 Y49:Y50 X51:Y51 Y30:Y38 X30:X40 Y52:Y56 Y58:Y61 Y74:Y77 X62:Y65 Y66:Y72 X66:X74 X78:Y1019">
    <cfRule type="cellIs" dxfId="188" priority="11871" operator="equal">
      <formula>"NÃO"</formula>
    </cfRule>
    <cfRule type="cellIs" dxfId="187" priority="11872" operator="equal">
      <formula>"SIM"</formula>
    </cfRule>
  </conditionalFormatting>
  <conditionalFormatting sqref="AY6:AY1019">
    <cfRule type="expression" dxfId="186" priority="54327">
      <formula>#REF!=1</formula>
    </cfRule>
  </conditionalFormatting>
  <conditionalFormatting sqref="T6:T1019 AX6:AX1019 BD6:BD1019">
    <cfRule type="cellIs" dxfId="185" priority="54311" operator="equal">
      <formula>"ERRO"</formula>
    </cfRule>
  </conditionalFormatting>
  <conditionalFormatting sqref="BP6:BP1019">
    <cfRule type="cellIs" dxfId="184" priority="54306" operator="equal">
      <formula>"Produção e Intervalo"</formula>
    </cfRule>
    <cfRule type="cellIs" dxfId="183" priority="54307" operator="equal">
      <formula>"Aderente"</formula>
    </cfRule>
    <cfRule type="cellIs" dxfId="182" priority="54308" operator="equal">
      <formula>"Intervalo"</formula>
    </cfRule>
    <cfRule type="cellIs" dxfId="181" priority="54309" operator="equal">
      <formula>"Produção"</formula>
    </cfRule>
    <cfRule type="cellIs" dxfId="180" priority="54310" operator="equal">
      <formula>"ERRO"</formula>
    </cfRule>
  </conditionalFormatting>
  <conditionalFormatting sqref="BQ6:BR1019">
    <cfRule type="cellIs" dxfId="179" priority="54288" operator="equal">
      <formula>"*"</formula>
    </cfRule>
    <cfRule type="cellIs" dxfId="178" priority="54289" operator="greaterThanOrEqual">
      <formula>1</formula>
    </cfRule>
    <cfRule type="cellIs" dxfId="177" priority="54290" operator="lessThan">
      <formula>1</formula>
    </cfRule>
  </conditionalFormatting>
  <conditionalFormatting sqref="BJ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88" operator="equal">
      <formula>"OPORTUNIDADE"</formula>
    </cfRule>
  </conditionalFormatting>
  <conditionalFormatting sqref="X28:Y29">
    <cfRule type="cellIs" dxfId="175" priority="186" operator="equal">
      <formula>"NÃO"</formula>
    </cfRule>
    <cfRule type="cellIs" dxfId="174" priority="187" operator="equal">
      <formula>"SIM"</formula>
    </cfRule>
  </conditionalFormatting>
  <conditionalFormatting sqref="BJ1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64" operator="equal">
      <formula>"OPORTUNIDADE"</formula>
    </cfRule>
  </conditionalFormatting>
  <conditionalFormatting sqref="Y39">
    <cfRule type="cellIs" dxfId="172" priority="162" operator="equal">
      <formula>"NÃO"</formula>
    </cfRule>
    <cfRule type="cellIs" dxfId="171" priority="163" operator="equal">
      <formula>"SIM"</formula>
    </cfRule>
  </conditionalFormatting>
  <conditionalFormatting sqref="X42:X43">
    <cfRule type="cellIs" dxfId="170" priority="161" operator="equal">
      <formula>"OPORTUNIDADE"</formula>
    </cfRule>
  </conditionalFormatting>
  <conditionalFormatting sqref="X42:X43">
    <cfRule type="cellIs" dxfId="169" priority="159" operator="equal">
      <formula>"NÃO"</formula>
    </cfRule>
    <cfRule type="cellIs" dxfId="168" priority="160" operator="equal">
      <formula>"SIM"</formula>
    </cfRule>
  </conditionalFormatting>
  <conditionalFormatting sqref="BJ4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32" operator="equal">
      <formula>"OPORTUNIDADE"</formula>
    </cfRule>
  </conditionalFormatting>
  <conditionalFormatting sqref="X46:Y46 Y47:Y48 X47:X50">
    <cfRule type="cellIs" dxfId="166" priority="130" operator="equal">
      <formula>"NÃO"</formula>
    </cfRule>
    <cfRule type="cellIs" dxfId="165" priority="131" operator="equal">
      <formula>"SIM"</formula>
    </cfRule>
  </conditionalFormatting>
  <conditionalFormatting sqref="BJ3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04" operator="equal">
      <formula>"OPORTUNIDADE"</formula>
    </cfRule>
  </conditionalFormatting>
  <conditionalFormatting sqref="Y57">
    <cfRule type="cellIs" dxfId="163" priority="102" operator="equal">
      <formula>"NÃO"</formula>
    </cfRule>
    <cfRule type="cellIs" dxfId="162" priority="103" operator="equal">
      <formula>"SIM"</formula>
    </cfRule>
  </conditionalFormatting>
  <conditionalFormatting sqref="BJ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2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2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91" operator="equal">
      <formula>"OPORTUNIDADE"</formula>
    </cfRule>
  </conditionalFormatting>
  <conditionalFormatting sqref="X52:X61">
    <cfRule type="cellIs" dxfId="160" priority="89" operator="equal">
      <formula>"NÃO"</formula>
    </cfRule>
    <cfRule type="cellIs" dxfId="159" priority="90" operator="equal">
      <formula>"SIM"</formula>
    </cfRule>
  </conditionalFormatting>
  <conditionalFormatting sqref="BJ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55" operator="equal">
      <formula>"OPORTUNIDADE"</formula>
    </cfRule>
  </conditionalFormatting>
  <conditionalFormatting sqref="Y73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X75">
    <cfRule type="cellIs" dxfId="155" priority="49" operator="equal">
      <formula>"OPORTUNIDADE"</formula>
    </cfRule>
  </conditionalFormatting>
  <conditionalFormatting sqref="X75">
    <cfRule type="cellIs" dxfId="154" priority="47" operator="equal">
      <formula>"NÃO"</formula>
    </cfRule>
    <cfRule type="cellIs" dxfId="153" priority="48" operator="equal">
      <formula>"SIM"</formula>
    </cfRule>
  </conditionalFormatting>
  <conditionalFormatting sqref="BJ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42" operator="equal">
      <formula>"OPORTUNIDADE"</formula>
    </cfRule>
  </conditionalFormatting>
  <conditionalFormatting sqref="X76:X77">
    <cfRule type="cellIs" dxfId="151" priority="40" operator="equal">
      <formula>"NÃO"</formula>
    </cfRule>
    <cfRule type="cellIs" dxfId="150" priority="41" operator="equal">
      <formula>"SIM"</formula>
    </cfRule>
  </conditionalFormatting>
  <conditionalFormatting sqref="BO7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">
      <iconSet showValue="0">
        <cfvo type="percent" val="0"/>
        <cfvo type="num" val="1"/>
        <cfvo type="num" val="1" gte="0"/>
      </iconSet>
    </cfRule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92:BO1019 BO44:BO45 BO25:BO29 BO6:BO7 BO11:BO12 BO41 BO35 BO51 BO62:BO65 BO75:BO79 BO67:BO70 BO72 BO84 BO88 BO90">
    <cfRule type="iconSet" priority="61592">
      <iconSet showValue="0">
        <cfvo type="percent" val="0"/>
        <cfvo type="num" val="1"/>
        <cfvo type="num" val="1" gte="0"/>
      </iconSet>
    </cfRule>
  </conditionalFormatting>
  <conditionalFormatting sqref="BJ92:BJ1019 BJ44:BJ45 BJ25:BJ28 BJ6:BJ7 BJ11:BJ12 BJ41 BJ51 BJ62:BJ64 BJ75 BJ78:BJ79 BJ84 BJ88 BJ90">
    <cfRule type="iconSet" priority="6160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G6:BG76 BG78:BG1019">
    <cfRule type="iconSet" priority="61681">
      <iconSet showValue="0">
        <cfvo type="percent" val="0"/>
        <cfvo type="num" val="1"/>
        <cfvo type="num" val="1" gte="0"/>
      </iconSet>
    </cfRule>
    <cfRule type="iconSet" priority="61682">
      <iconSet showValue="0">
        <cfvo type="percent" val="0"/>
        <cfvo type="num" val="1"/>
        <cfvo type="num" val="1" gte="0"/>
      </iconSet>
    </cfRule>
  </conditionalFormatting>
  <conditionalFormatting sqref="BH6:BH69 BH71:BH76 BH78:BH1019">
    <cfRule type="iconSet" priority="61687">
      <iconSet showValue="0">
        <cfvo type="percent" val="0"/>
        <cfvo type="num" val="1"/>
        <cfvo type="num" val="1" gte="0"/>
      </iconSet>
    </cfRule>
  </conditionalFormatting>
  <conditionalFormatting sqref="BI6:BI69 BI71:BI76 BI78:BI1019">
    <cfRule type="iconSet" priority="6169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0:I1048576 I2:I7 I25:I27 I38 I42:I45 I50:I54 I47:I48 I58 I31:I33 I74 I67:I70 I60:I65 I83:I84 I87 I76:I80 I89:I94 I97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AH6:AH1019 E6:E1019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4" t="s">
        <v>1199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61" t="s">
        <v>1200</v>
      </c>
      <c r="C4" s="161" t="s">
        <v>1201</v>
      </c>
      <c r="D4" s="161" t="s">
        <v>1202</v>
      </c>
      <c r="E4" s="161" t="s">
        <v>1203</v>
      </c>
      <c r="F4" s="161" t="s">
        <v>4</v>
      </c>
      <c r="G4" s="161" t="s">
        <v>1204</v>
      </c>
    </row>
    <row r="5" spans="2:7">
      <c r="B5" s="162" t="s">
        <v>1205</v>
      </c>
      <c r="C5" s="162">
        <v>257068</v>
      </c>
      <c r="D5" s="162" t="s">
        <v>1206</v>
      </c>
      <c r="E5" s="162" t="s">
        <v>1207</v>
      </c>
      <c r="F5" s="162" t="s">
        <v>1207</v>
      </c>
      <c r="G5" s="163">
        <v>46296</v>
      </c>
    </row>
    <row r="6" spans="2:7">
      <c r="B6" s="162" t="s">
        <v>1208</v>
      </c>
      <c r="C6" s="162" t="s">
        <v>624</v>
      </c>
      <c r="D6" s="162" t="s">
        <v>624</v>
      </c>
      <c r="E6" s="162" t="s">
        <v>624</v>
      </c>
      <c r="F6" s="162" t="s">
        <v>1209</v>
      </c>
      <c r="G6" s="163" t="s">
        <v>624</v>
      </c>
    </row>
    <row r="7" spans="2:7">
      <c r="B7" s="162" t="s">
        <v>1210</v>
      </c>
      <c r="C7" s="162">
        <v>257472</v>
      </c>
      <c r="D7" s="162" t="s">
        <v>1211</v>
      </c>
      <c r="E7" s="162" t="s">
        <v>1212</v>
      </c>
      <c r="F7" s="162" t="s">
        <v>1212</v>
      </c>
      <c r="G7" s="163">
        <v>45992</v>
      </c>
    </row>
    <row r="8" spans="2:7">
      <c r="B8" s="162" t="s">
        <v>1213</v>
      </c>
      <c r="C8" s="162">
        <v>260307</v>
      </c>
      <c r="D8" s="162" t="s">
        <v>1214</v>
      </c>
      <c r="E8" s="162" t="s">
        <v>1215</v>
      </c>
      <c r="F8" s="162" t="s">
        <v>1212</v>
      </c>
      <c r="G8" s="163">
        <v>46082</v>
      </c>
    </row>
    <row r="9" spans="2:7">
      <c r="B9" s="162" t="s">
        <v>1216</v>
      </c>
      <c r="C9" s="162">
        <v>333033</v>
      </c>
      <c r="D9" s="162" t="s">
        <v>1217</v>
      </c>
      <c r="E9" s="162" t="s">
        <v>1209</v>
      </c>
      <c r="F9" s="162" t="s">
        <v>1218</v>
      </c>
      <c r="G9" s="162" t="s">
        <v>624</v>
      </c>
    </row>
    <row r="10" spans="2:7">
      <c r="B10" s="162" t="s">
        <v>1219</v>
      </c>
      <c r="C10" s="162"/>
      <c r="D10" s="162"/>
      <c r="E10" s="162" t="s">
        <v>1209</v>
      </c>
      <c r="F10" s="162" t="s">
        <v>1218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6" t="s">
        <v>1220</v>
      </c>
      <c r="D1" s="236"/>
      <c r="E1" s="236"/>
      <c r="F1" s="236"/>
      <c r="G1" s="236"/>
      <c r="H1" s="236"/>
    </row>
    <row r="2" spans="3:8" ht="15" customHeight="1">
      <c r="C2" s="236"/>
      <c r="D2" s="236"/>
      <c r="E2" s="236"/>
      <c r="F2" s="236"/>
      <c r="G2" s="236"/>
      <c r="H2" s="236"/>
    </row>
    <row r="3" spans="3:8" ht="15" customHeight="1">
      <c r="C3" s="201" t="s">
        <v>717</v>
      </c>
      <c r="D3" s="201" t="s">
        <v>1221</v>
      </c>
      <c r="E3" s="201" t="s">
        <v>1222</v>
      </c>
      <c r="F3" s="201" t="s">
        <v>1223</v>
      </c>
      <c r="G3" s="201" t="s">
        <v>1224</v>
      </c>
      <c r="H3" s="201" t="s">
        <v>1225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1226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1227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1228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7"/>
      <c r="B1" s="238"/>
      <c r="C1" s="23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0" t="s">
        <v>1057</v>
      </c>
      <c r="Q1" s="241"/>
      <c r="R1" s="111"/>
      <c r="S1" s="84"/>
      <c r="T1" s="86"/>
      <c r="U1" s="242" t="s">
        <v>1229</v>
      </c>
      <c r="V1" s="242"/>
      <c r="W1" s="242"/>
    </row>
    <row r="2" spans="1:23" ht="15" customHeight="1">
      <c r="A2" s="87" t="s">
        <v>1230</v>
      </c>
      <c r="B2" s="87" t="s">
        <v>1231</v>
      </c>
      <c r="C2" s="87" t="s">
        <v>442</v>
      </c>
      <c r="D2" s="88" t="s">
        <v>1009</v>
      </c>
      <c r="E2" s="88" t="s">
        <v>4</v>
      </c>
      <c r="F2" s="88" t="s">
        <v>1232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1233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e">
        <f>IF(SP_NORTE!#REF!="","*",SP_NORTE!#REF!)</f>
        <v>#REF!</v>
      </c>
      <c r="B81" s="146" t="e">
        <f>IF(SP_NORTE!#REF!="","*",SP_NORTE!#REF!)</f>
        <v>#REF!</v>
      </c>
      <c r="C81" s="146" t="e">
        <f>IF(SP_NORTE!#REF!="","*",SP_NORTE!#REF!)</f>
        <v>#REF!</v>
      </c>
      <c r="D81" s="138" t="e">
        <f>IF(SP_NORTE!#REF!="","*",SP_NORTE!#REF!)</f>
        <v>#REF!</v>
      </c>
      <c r="E81" s="138" t="e">
        <f>IF(SP_NORTE!#REF!="","*",SP_NORTE!#REF!)</f>
        <v>#REF!</v>
      </c>
      <c r="F81" s="145" t="e">
        <f>IF(SP_NORTE!#REF!="","*",SP_NORTE!#REF!)</f>
        <v>#REF!</v>
      </c>
      <c r="G81" s="145" t="e">
        <f>IF(SP_NORTE!#REF!="","*",SP_NORTE!#REF!)</f>
        <v>#REF!</v>
      </c>
      <c r="H81" s="145" t="e">
        <f>IF(SP_NORTE!#REF!="","*",SP_NORTE!#REF!)</f>
        <v>#REF!</v>
      </c>
      <c r="I81" s="145" t="e">
        <f>IF(SP_NORTE!#REF!="","*",SP_NORTE!#REF!)</f>
        <v>#REF!</v>
      </c>
      <c r="J81" s="145" t="e">
        <f>IF(SP_NORTE!#REF!="","*",SP_NORTE!#REF!)</f>
        <v>#REF!</v>
      </c>
      <c r="K81" s="138" t="e">
        <f>IF(SP_NORTE!#REF!="","*",SP_NORTE!#REF!)</f>
        <v>#REF!</v>
      </c>
      <c r="L81" s="138" t="e">
        <f>IF(SP_NORTE!#REF!="","*",SP_NORTE!#REF!)</f>
        <v>#REF!</v>
      </c>
      <c r="M81" s="139" t="e">
        <f>IF(SP_NORTE!#REF!="","*",SP_NORTE!#REF!)</f>
        <v>#REF!</v>
      </c>
      <c r="N81" s="144" t="e">
        <f>IF(SP_NORTE!#REF!="","*",SP_NORTE!#REF!)</f>
        <v>#REF!</v>
      </c>
      <c r="O81" s="144" t="e">
        <f>IF(SP_NORTE!#REF!="","*",SP_NORTE!#REF!)</f>
        <v>#REF!</v>
      </c>
      <c r="P81" s="143" t="e">
        <f>IF(SP_NORTE!#REF!="","*",SP_NORTE!#REF!)</f>
        <v>#REF!</v>
      </c>
      <c r="Q81" s="143" t="e">
        <f>IF(SP_NORTE!#REF!="","*",SP_NORTE!#REF!)</f>
        <v>#REF!</v>
      </c>
      <c r="R81" s="145" t="e">
        <f>IF(SP_NORTE!#REF!="","*",CONCATENATE(SP_NORTE!#REF!," ",SP_NORTE!#REF!))</f>
        <v>#REF!</v>
      </c>
      <c r="S81" s="145" t="e">
        <f>IF(SP_NORTE!#REF!="","*",SP_NORTE!#REF!)</f>
        <v>#REF!</v>
      </c>
      <c r="T81" s="145" t="e">
        <f>IF(SP_NORTE!#REF!="","*",SP_NORTE!#REF!)</f>
        <v>#REF!</v>
      </c>
      <c r="U81" s="136" t="e">
        <f ca="1">_xlfn.XLOOKUP(G81&amp;$U$2,BS_CONTROLE[CHAVE],BS_CONTROLE[Quantidade_11],"-")</f>
        <v>#REF!</v>
      </c>
      <c r="V81" s="136" t="e">
        <f ca="1">_xlfn.XLOOKUP(G81&amp;$V$2,BS_CONTROLE[CHAVE],BS_CONTROLE[Quantidade_11],"-")</f>
        <v>#REF!</v>
      </c>
      <c r="W81" s="136" t="e">
        <f ca="1">_xlfn.XLOOKUP(G81&amp;$W$2,BS_CONTROLE[CHAVE],BS_CONTROLE[Quantidade_11],"-")</f>
        <v>#REF!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SIM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IF(SP_NORTE!X87="","*",SP_NORTE!X87)</f>
        <v>OPORTUNIDADE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IF(SP_NORTE!X89="","*",SP_NORTE!X89)</f>
        <v>OPORTUNIDADE</v>
      </c>
      <c r="B87" s="146" t="str">
        <f>IF(SP_NORTE!W89="","*",SP_NORTE!W89)</f>
        <v>Oportunidade</v>
      </c>
      <c r="C87" s="146" t="str">
        <f>IF(SP_NORTE!Y89="","*",SP_NORTE!Y89)</f>
        <v>*</v>
      </c>
      <c r="D87" s="138" t="str">
        <f>IF(SP_NORTE!R89="","*",SP_NORTE!R89)</f>
        <v>SP NORTE</v>
      </c>
      <c r="E87" s="138" t="str">
        <f>IF(SP_NORTE!S89="","*",SP_NORTE!S89)</f>
        <v>ZRX-ZTI</v>
      </c>
      <c r="F87" s="145">
        <f>IF(SP_NORTE!B89="","*",SP_NORTE!B89)</f>
        <v>46059</v>
      </c>
      <c r="G87" s="145" t="str">
        <f>IF(SP_NORTE!D89="","*",SP_NORTE!D89)</f>
        <v xml:space="preserve">TURMA FIXA VIA </v>
      </c>
      <c r="H87" s="145" t="str">
        <f>IF(SP_NORTE!E89="","*",SP_NORTE!E89)</f>
        <v>PDM - SUBSTITUIÇÃO - DORMENTE</v>
      </c>
      <c r="I87" s="145" t="str">
        <f>IF(SP_NORTE!G89="","*",SP_NORTE!G89)</f>
        <v>-</v>
      </c>
      <c r="J87" s="145" t="str">
        <f>IF(SP_NORTE!H89="","*",SP_NORTE!H89)</f>
        <v>-</v>
      </c>
      <c r="K87" s="138" t="str">
        <f>IF(SP_NORTE!L89="","*",SP_NORTE!L89)</f>
        <v>ZSK-ZXH</v>
      </c>
      <c r="L87" s="138" t="str">
        <f>IF(SP_NORTE!M89="","*",SP_NORTE!M89)</f>
        <v>ZSK208</v>
      </c>
      <c r="M87" s="139">
        <f>IF(SP_NORTE!I89="","*",SP_NORTE!I89)</f>
        <v>71</v>
      </c>
      <c r="N87" s="144">
        <f>IF(SP_NORTE!J89="","*",SP_NORTE!J89)</f>
        <v>208</v>
      </c>
      <c r="O87" s="144" t="str">
        <f>IF(SP_NORTE!K89="","*",SP_NORTE!K89)</f>
        <v>-</v>
      </c>
      <c r="P87" s="143">
        <f>IF(SP_NORTE!N89="","*",SP_NORTE!N89)</f>
        <v>0.33333333333333331</v>
      </c>
      <c r="Q87" s="143">
        <f>IF(SP_NORTE!O89="","*",SP_NORTE!O89)</f>
        <v>8.3333333333333329E-2</v>
      </c>
      <c r="R87" s="145" t="str">
        <f>IF(SP_NORTE!P89="","*",CONCATENATE(SP_NORTE!P89," ",SP_NORTE!Q89))</f>
        <v>30 Nº DE DORMENTES</v>
      </c>
      <c r="S87" s="145" t="str">
        <f>IF(SP_NORTE!U89="","*",SP_NORTE!U89)</f>
        <v xml:space="preserve">Marcone </v>
      </c>
      <c r="T87" s="145" t="str">
        <f>IF(SP_NORTE!V89="","*",SP_NORTE!V89)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>V83</v>
      </c>
      <c r="H88" s="145" t="str">
        <f>IF(SP_NORTE!E91="","*",SP_NORTE!E91)</f>
        <v>MECANIZAÇÃO - SOCADORA</v>
      </c>
      <c r="I88" s="145" t="str">
        <f>IF(SP_NORTE!G91="","*",SP_NORTE!G91)</f>
        <v>ZIQ2</v>
      </c>
      <c r="J88" s="145" t="str">
        <f>IF(SP_NORTE!H91="","*",SP_NORTE!H91)</f>
        <v>ZIQ</v>
      </c>
      <c r="K88" s="138" t="str">
        <f>IF(SP_NORTE!L91="","*",SP_NORTE!L91)</f>
        <v>ZRQ-ZQX</v>
      </c>
      <c r="L88" s="138">
        <f>IF(SP_NORTE!M91="","*",SP_NORTE!M91)</f>
        <v>1381391</v>
      </c>
      <c r="M88" s="139">
        <f>IF(SP_NORTE!I91="","*",SP_NORTE!I91)</f>
        <v>70</v>
      </c>
      <c r="N88" s="144">
        <f>IF(SP_NORTE!J91="","*",SP_NORTE!J91)</f>
        <v>139</v>
      </c>
      <c r="O88" s="144">
        <f>IF(SP_NORTE!K91="","*",SP_NORTE!K91)</f>
        <v>139.30000000000001</v>
      </c>
      <c r="P88" s="143">
        <f>IF(SP_NORTE!N91="","*",SP_NORTE!N91)</f>
        <v>0.35416666666666669</v>
      </c>
      <c r="Q88" s="143">
        <f>IF(SP_NORTE!O91="","*",SP_NORTE!O91)</f>
        <v>8.3333333333333329E-2</v>
      </c>
      <c r="R88" s="145" t="str">
        <f>IF(SP_NORTE!P91="","*",CONCATENATE(SP_NORTE!P91," ",SP_NORTE!Q91))</f>
        <v>300 M</v>
      </c>
      <c r="S88" s="145" t="str">
        <f>IF(SP_NORTE!U91="","*",SP_NORTE!U91)</f>
        <v>Antonioni</v>
      </c>
      <c r="T88" s="145" t="str">
        <f>IF(SP_NORTE!V91="","*",SP_NORTE!V91)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Oportunidade</v>
      </c>
      <c r="C91" s="146" t="str">
        <f>IF(SP_NORTE!Y94="","*",SP_NORTE!Y94)</f>
        <v>*</v>
      </c>
      <c r="D91" s="138" t="str">
        <f>IF(SP_NORTE!R94="","*",SP_NORTE!R94)</f>
        <v>SP NORTE</v>
      </c>
      <c r="E91" s="138" t="str">
        <f>IF(SP_NORTE!S94="","*",SP_NORTE!S94)</f>
        <v>TMI-ZEB</v>
      </c>
      <c r="F91" s="145">
        <f>IF(SP_NORTE!B94="","*",SP_NORTE!B94)</f>
        <v>46060</v>
      </c>
      <c r="G91" s="145" t="str">
        <f>IF(SP_NORTE!D94="","*",SP_NORTE!D94)</f>
        <v>V87</v>
      </c>
      <c r="H91" s="145" t="str">
        <f>IF(SP_NORTE!E94="","*",SP_NORTE!E94)</f>
        <v>MECANIZAÇÃO - SOCADORA</v>
      </c>
      <c r="I91" s="145" t="str">
        <f>IF(SP_NORTE!G94="","*",SP_NORTE!G94)</f>
        <v>ZDP2</v>
      </c>
      <c r="J91" s="145" t="str">
        <f>IF(SP_NORTE!H94="","*",SP_NORTE!H94)</f>
        <v>ZDP</v>
      </c>
      <c r="K91" s="138" t="str">
        <f>IF(SP_NORTE!L94="","*",SP_NORTE!L94)</f>
        <v>ZZM-ZCF</v>
      </c>
      <c r="L91" s="138" t="str">
        <f>IF(SP_NORTE!M94="","*",SP_NORTE!M94)</f>
        <v>293ZCF1</v>
      </c>
      <c r="M91" s="139">
        <f>IF(SP_NORTE!I94="","*",SP_NORTE!I94)</f>
        <v>73</v>
      </c>
      <c r="N91" s="144">
        <f>IF(SP_NORTE!J94="","*",SP_NORTE!J94)</f>
        <v>293.8</v>
      </c>
      <c r="O91" s="144">
        <f>IF(SP_NORTE!K94="","*",SP_NORTE!K94)</f>
        <v>291</v>
      </c>
      <c r="P91" s="143">
        <f>IF(SP_NORTE!N94="","*",SP_NORTE!N94)</f>
        <v>0.34722222222222221</v>
      </c>
      <c r="Q91" s="143">
        <f>IF(SP_NORTE!O94="","*",SP_NORTE!O94)</f>
        <v>8.3333333333333329E-2</v>
      </c>
      <c r="R91" s="145" t="str">
        <f>IF(SP_NORTE!P94="","*",CONCATENATE(SP_NORTE!P94," ",SP_NORTE!Q94))</f>
        <v>800 M</v>
      </c>
      <c r="S91" s="145" t="str">
        <f>IF(SP_NORTE!U94="","*",SP_NORTE!U94)</f>
        <v>Antonioni</v>
      </c>
      <c r="T91" s="145" t="str">
        <f>IF(SP_NORTE!V94="","*",SP_NORTE!V94)</f>
        <v xml:space="preserve">Socadora Mecanizada </v>
      </c>
      <c r="U91" s="136">
        <f ca="1">_xlfn.XLOOKUP(G91&amp;$U$2,BS_CONTROLE[CHAVE],BS_CONTROLE[Quantidade_11],"-")</f>
        <v>0</v>
      </c>
      <c r="V91" s="136">
        <f ca="1">_xlfn.XLOOKUP(G91&amp;$V$2,BS_CONTROLE[CHAVE],BS_CONTROLE[Quantidade_11],"-")</f>
        <v>0</v>
      </c>
      <c r="W91" s="136">
        <f ca="1">_xlfn.XLOOKUP(G91&amp;$W$2,BS_CONTROLE[CHAVE],BS_CONTROLE[Quantidade_11],"-")</f>
        <v>0</v>
      </c>
    </row>
    <row r="92" spans="1:23" hidden="1">
      <c r="A92" s="146" t="str">
        <f>IF(SP_NORTE!X95="","*",SP_NORTE!X95)</f>
        <v>*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JOVÂNIO (TP-850)</v>
      </c>
      <c r="H92" s="145" t="str">
        <f>IF(SP_NORTE!E95="","*",SP_NORTE!E95)</f>
        <v>PDM - SOLDA</v>
      </c>
      <c r="I92" s="145" t="str">
        <f>IF(SP_NORTE!G95="","*",SP_NORTE!G95)</f>
        <v>-</v>
      </c>
      <c r="J92" s="145" t="str">
        <f>IF(SP_NORTE!H95="","*",SP_NORTE!H95)</f>
        <v>-</v>
      </c>
      <c r="K92" s="138" t="str">
        <f>IF(SP_NORTE!L95="","*",SP_NORTE!L95)</f>
        <v>ZEC-ZKY</v>
      </c>
      <c r="L92" s="138">
        <f>IF(SP_NORTE!M95="","*",SP_NORTE!M95)</f>
        <v>267271</v>
      </c>
      <c r="M92" s="139">
        <f>IF(SP_NORTE!I95="","*",SP_NORTE!I95)</f>
        <v>73</v>
      </c>
      <c r="N92" s="144">
        <f>IF(SP_NORTE!J95="","*",SP_NORTE!J95)</f>
        <v>268</v>
      </c>
      <c r="O92" s="144" t="str">
        <f>IF(SP_NORTE!K95="","*",SP_NORTE!K95)</f>
        <v>-</v>
      </c>
      <c r="P92" s="143">
        <f>IF(SP_NORTE!N95="","*",SP_NORTE!N95)</f>
        <v>0.375</v>
      </c>
      <c r="Q92" s="143">
        <f>IF(SP_NORTE!O95="","*",SP_NORTE!O95)</f>
        <v>6.25E-2</v>
      </c>
      <c r="R92" s="145" t="str">
        <f>IF(SP_NORTE!P95="","*",CONCATENATE(SP_NORTE!P95," ",SP_NORTE!Q95))</f>
        <v>1 Nº DE SOLDA</v>
      </c>
      <c r="S92" s="145" t="str">
        <f>IF(SP_NORTE!U95="","*",SP_NORTE!U95)</f>
        <v xml:space="preserve">ronaldo </v>
      </c>
      <c r="T92" s="145" t="str">
        <f>IF(SP_NORTE!V95="","*",SP_NORTE!V95)</f>
        <v>execução de solda - Condicionado à temperatura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*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ZEB-ZCZ</v>
      </c>
      <c r="F93" s="145">
        <f>IF(SP_NORTE!B96="","*",SP_NORTE!B96)</f>
        <v>46060</v>
      </c>
      <c r="G93" s="145" t="str">
        <f>IF(SP_NORTE!D96="","*",SP_NORTE!D96)</f>
        <v>JULIO CÉSAR (TP-701)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ZUC-ZCG</v>
      </c>
      <c r="L93" s="138" t="str">
        <f>IF(SP_NORTE!M96="","*",SP_NORTE!M96)</f>
        <v>ZUC173</v>
      </c>
      <c r="M93" s="139">
        <f>IF(SP_NORTE!I96="","*",SP_NORTE!I96)</f>
        <v>73</v>
      </c>
      <c r="N93" s="144">
        <f>IF(SP_NORTE!J96="","*",SP_NORTE!J96)</f>
        <v>169.7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ZRX-ZTI</v>
      </c>
      <c r="F95" s="145">
        <f>IF(SP_NORTE!B98="","*",SP_NORTE!B98)</f>
        <v>46060</v>
      </c>
      <c r="G95" s="145" t="str">
        <f>IF(SP_NORTE!D98="","*",SP_NORTE!D98)</f>
        <v xml:space="preserve">TURMA FIXA VIA </v>
      </c>
      <c r="H95" s="145" t="str">
        <f>IF(SP_NORTE!E98="","*",SP_NORTE!E98)</f>
        <v>PDM - SUBSTITUIÇÃO - DORMENTE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ZSK-ZXH</v>
      </c>
      <c r="L95" s="138" t="str">
        <f>IF(SP_NORTE!M98="","*",SP_NORTE!M98)</f>
        <v>ZSK208</v>
      </c>
      <c r="M95" s="139">
        <f>IF(SP_NORTE!I98="","*",SP_NORTE!I98)</f>
        <v>71</v>
      </c>
      <c r="N95" s="144">
        <f>IF(SP_NORTE!J98="","*",SP_NORTE!J98)</f>
        <v>208</v>
      </c>
      <c r="O95" s="144" t="str">
        <f>IF(SP_NORTE!K98="","*",SP_NORTE!K98)</f>
        <v>-</v>
      </c>
      <c r="P95" s="143">
        <f>IF(SP_NORTE!N98="","*",SP_NORTE!N98)</f>
        <v>0.33333333333333331</v>
      </c>
      <c r="Q95" s="143">
        <f>IF(SP_NORTE!O98="","*",SP_NORTE!O98)</f>
        <v>8.3333333333333329E-2</v>
      </c>
      <c r="R95" s="145" t="str">
        <f>IF(SP_NORTE!P98="","*",CONCATENATE(SP_NORTE!P98," ",SP_NORTE!Q98))</f>
        <v>30 Nº DE DORMENTES</v>
      </c>
      <c r="S95" s="145" t="str">
        <f>IF(SP_NORTE!U98="","*",SP_NORTE!U98)</f>
        <v xml:space="preserve">Marcone </v>
      </c>
      <c r="T95" s="145" t="str">
        <f>IF(SP_NORTE!V98="","*",SP_NORTE!V98)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ZRX-ZTI</v>
      </c>
      <c r="F96" s="145">
        <f>IF(SP_NORTE!B99="","*",SP_NORTE!B99)</f>
        <v>46060</v>
      </c>
      <c r="G96" s="145" t="str">
        <f>IF(SP_NORTE!D99="","*",SP_NORTE!D99)</f>
        <v>V83</v>
      </c>
      <c r="H96" s="145" t="str">
        <f>IF(SP_NORTE!E99="","*",SP_NORTE!E99)</f>
        <v>MECANIZAÇÃO - SOCADORA</v>
      </c>
      <c r="I96" s="145" t="str">
        <f>IF(SP_NORTE!G99="","*",SP_NORTE!G99)</f>
        <v>ZIQ2</v>
      </c>
      <c r="J96" s="145" t="str">
        <f>IF(SP_NORTE!H99="","*",SP_NORTE!H99)</f>
        <v>ZIQ</v>
      </c>
      <c r="K96" s="138" t="str">
        <f>IF(SP_NORTE!L99="","*",SP_NORTE!L99)</f>
        <v>ZRQ-ZQX</v>
      </c>
      <c r="L96" s="138">
        <f>IF(SP_NORTE!M99="","*",SP_NORTE!M99)</f>
        <v>1381391</v>
      </c>
      <c r="M96" s="139">
        <f>IF(SP_NORTE!I99="","*",SP_NORTE!I99)</f>
        <v>70</v>
      </c>
      <c r="N96" s="144">
        <f>IF(SP_NORTE!J99="","*",SP_NORTE!J99)</f>
        <v>139</v>
      </c>
      <c r="O96" s="144">
        <f>IF(SP_NORTE!K99="","*",SP_NORTE!K99)</f>
        <v>139.30000000000001</v>
      </c>
      <c r="P96" s="143">
        <f>IF(SP_NORTE!N99="","*",SP_NORTE!N99)</f>
        <v>0.35416666666666669</v>
      </c>
      <c r="Q96" s="143">
        <f>IF(SP_NORTE!O99="","*",SP_NORTE!O99)</f>
        <v>8.3333333333333329E-2</v>
      </c>
      <c r="R96" s="145" t="str">
        <f>IF(SP_NORTE!P99="","*",CONCATENATE(SP_NORTE!P99," ",SP_NORTE!Q99))</f>
        <v>300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3" t="s">
        <v>1234</v>
      </c>
      <c r="D5" s="244"/>
      <c r="E5" s="244"/>
      <c r="F5" s="244"/>
      <c r="G5" s="244"/>
      <c r="H5" s="244"/>
      <c r="I5" s="244"/>
      <c r="J5" s="245"/>
      <c r="K5" s="246" t="s">
        <v>1235</v>
      </c>
      <c r="L5" s="247"/>
      <c r="M5" s="247"/>
      <c r="N5" s="247"/>
      <c r="O5" s="248" t="s">
        <v>1236</v>
      </c>
      <c r="P5" s="249"/>
    </row>
    <row r="6" spans="1:16" s="74" customFormat="1" ht="15" customHeight="1">
      <c r="A6" s="66" t="s">
        <v>1232</v>
      </c>
      <c r="B6" s="75" t="s">
        <v>1231</v>
      </c>
      <c r="C6" s="76" t="s">
        <v>1009</v>
      </c>
      <c r="D6" s="77" t="s">
        <v>1010</v>
      </c>
      <c r="E6" s="76" t="s">
        <v>1237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1238</v>
      </c>
      <c r="M6" s="80" t="s">
        <v>642</v>
      </c>
      <c r="N6" s="81" t="s">
        <v>1004</v>
      </c>
      <c r="O6" s="158" t="s">
        <v>1047</v>
      </c>
      <c r="P6" s="132" t="s">
        <v>1239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 xml:space="preserve">MC1 07:50, sem oportunidade de faixa, fluxo de trens 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sem oportunidade de faixa, fluxo de trens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*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>
        <f>IF(SP_NORTE!BG86="","*",SP_NORTE!BG86)</f>
        <v>0</v>
      </c>
      <c r="P69" s="147" t="str">
        <f>IF($A$2=1,IF(SP_NORTE!BI86="","*",SP_NORTE!BI86),IF(SP_NORTE!BJ86="","*",SP_NORTE!BJ86))</f>
        <v xml:space="preserve">MC1 07:53, sem oportunidade de faixa, fluxo de trens 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IF(SP_NORTE!B91="","*",SP_NORTE!B91)</f>
        <v>46059</v>
      </c>
      <c r="B72" s="83" t="str">
        <f>IF(SP_NORTE!W91="","*",SP_NORTE!W91)</f>
        <v>Oportunidade</v>
      </c>
      <c r="C72" s="83" t="str">
        <f>IF(SP_NORTE!R91="","*",SP_NORTE!R91)</f>
        <v>SP NORTE</v>
      </c>
      <c r="D72" s="83" t="str">
        <f>IF(SP_NORTE!S91="","*",SP_NORTE!S91)</f>
        <v>ZRX-ZTI</v>
      </c>
      <c r="E72" s="83" t="str">
        <f>IF(SP_NORTE!D91="","*",SP_NORTE!D91)</f>
        <v>V83</v>
      </c>
      <c r="F72" s="83" t="str">
        <f>IF(SP_NORTE!G91="","*",SP_NORTE!G91)</f>
        <v>ZIQ2</v>
      </c>
      <c r="G72" s="83" t="str">
        <f>IF(SP_NORTE!L91="","*",SP_NORTE!L91)</f>
        <v>ZRQ-ZQX</v>
      </c>
      <c r="H72" s="116">
        <f>IF(SP_NORTE!J91="","*",SP_NORTE!J91)</f>
        <v>139</v>
      </c>
      <c r="I72" s="113">
        <f>IF(SP_NORTE!N91="","*",SP_NORTE!N91)</f>
        <v>0.35416666666666669</v>
      </c>
      <c r="J72" s="113">
        <f>IF(SP_NORTE!O91="","*",SP_NORTE!O91)</f>
        <v>8.3333333333333329E-2</v>
      </c>
      <c r="K72" s="83" t="str">
        <f>IF(SP_NORTE!AJ91="","*",SP_NORTE!AJ91)</f>
        <v>ZIQ2</v>
      </c>
      <c r="L72" s="83" t="str">
        <f>IF(SP_NORTE!AL91="","*",SP_NORTE!AL91)</f>
        <v>ZRQ-ZQX</v>
      </c>
      <c r="M72" s="83">
        <f>IF(SP_NORTE!AO91="","*",SP_NORTE!AO91)</f>
        <v>139</v>
      </c>
      <c r="N72" s="83" t="str">
        <f>IF(SP_NORTE!AL91="","*",SP_NORTE!AL91)</f>
        <v>ZRQ-ZQX</v>
      </c>
      <c r="O72" s="110">
        <f>IF(SP_NORTE!BG91="","*",SP_NORTE!BG91)</f>
        <v>0</v>
      </c>
      <c r="P72" s="147" t="str">
        <f>IF($A$2=1,IF(SP_NORTE!BI91="","*",SP_NORTE!BI91),IF(SP_NORTE!BJ91="","*",SP_NORTE!BJ91))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>
        <f>IF(SP_NORTE!B94="","*",SP_NORTE!B94)</f>
        <v>46060</v>
      </c>
      <c r="B76" s="83" t="str">
        <f>IF(SP_NORTE!W94="","*",SP_NORTE!W94)</f>
        <v>Oportunidade</v>
      </c>
      <c r="C76" s="83" t="str">
        <f>IF(SP_NORTE!R94="","*",SP_NORTE!R94)</f>
        <v>SP NORTE</v>
      </c>
      <c r="D76" s="83" t="str">
        <f>IF(SP_NORTE!S94="","*",SP_NORTE!S94)</f>
        <v>TMI-ZEB</v>
      </c>
      <c r="E76" s="83" t="str">
        <f>IF(SP_NORTE!D94="","*",SP_NORTE!D94)</f>
        <v>V87</v>
      </c>
      <c r="F76" s="83" t="str">
        <f>IF(SP_NORTE!G94="","*",SP_NORTE!G94)</f>
        <v>ZDP2</v>
      </c>
      <c r="G76" s="83" t="str">
        <f>IF(SP_NORTE!L94="","*",SP_NORTE!L94)</f>
        <v>ZZM-ZCF</v>
      </c>
      <c r="H76" s="116">
        <f>IF(SP_NORTE!J94="","*",SP_NORTE!J94)</f>
        <v>293.8</v>
      </c>
      <c r="I76" s="113">
        <f>IF(SP_NORTE!N94="","*",SP_NORTE!N94)</f>
        <v>0.34722222222222221</v>
      </c>
      <c r="J76" s="113">
        <f>IF(SP_NORTE!O94="","*",SP_NORTE!O94)</f>
        <v>8.3333333333333329E-2</v>
      </c>
      <c r="K76" s="83" t="str">
        <f>IF(SP_NORTE!AJ94="","*",SP_NORTE!AJ94)</f>
        <v>ZDP2</v>
      </c>
      <c r="L76" s="83" t="str">
        <f>IF(SP_NORTE!AL94="","*",SP_NORTE!AL94)</f>
        <v>ZZM-ZCF</v>
      </c>
      <c r="M76" s="83">
        <f>IF(SP_NORTE!AO94="","*",SP_NORTE!AO94)</f>
        <v>293.8</v>
      </c>
      <c r="N76" s="83" t="str">
        <f>IF(SP_NORTE!AL94="","*",SP_NORTE!AL94)</f>
        <v>ZZM-ZCF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>
        <f>IF(SP_NORTE!B95="","*",SP_NORTE!B95)</f>
        <v>46060</v>
      </c>
      <c r="B77" s="83" t="str">
        <f>IF(SP_NORTE!W95="","*",SP_NORTE!W95)</f>
        <v>Oportunidade</v>
      </c>
      <c r="C77" s="83" t="str">
        <f>IF(SP_NORTE!R95="","*",SP_NORTE!R95)</f>
        <v>SP NORTE</v>
      </c>
      <c r="D77" s="83" t="str">
        <f>IF(SP_NORTE!S95="","*",SP_NORTE!S95)</f>
        <v>TMI-ZEB</v>
      </c>
      <c r="E77" s="83" t="str">
        <f>IF(SP_NORTE!D95="","*",SP_NORTE!D95)</f>
        <v>JOVÂNIO (TP-850)</v>
      </c>
      <c r="F77" s="83" t="str">
        <f>IF(SP_NORTE!G95="","*",SP_NORTE!G95)</f>
        <v>-</v>
      </c>
      <c r="G77" s="83" t="str">
        <f>IF(SP_NORTE!L95="","*",SP_NORTE!L95)</f>
        <v>ZEC-ZKY</v>
      </c>
      <c r="H77" s="116">
        <f>IF(SP_NORTE!J95="","*",SP_NORTE!J95)</f>
        <v>268</v>
      </c>
      <c r="I77" s="113">
        <f>IF(SP_NORTE!N95="","*",SP_NORTE!N95)</f>
        <v>0.375</v>
      </c>
      <c r="J77" s="113">
        <f>IF(SP_NORTE!O95="","*",SP_NORTE!O95)</f>
        <v>6.25E-2</v>
      </c>
      <c r="K77" s="83" t="str">
        <f>IF(SP_NORTE!AJ95="","*",SP_NORTE!AJ95)</f>
        <v>-</v>
      </c>
      <c r="L77" s="83" t="str">
        <f>IF(SP_NORTE!AL95="","*",SP_NORTE!AL95)</f>
        <v>ZEC-ZKY</v>
      </c>
      <c r="M77" s="83">
        <f>IF(SP_NORTE!AO95="","*",SP_NORTE!AO95)</f>
        <v>268</v>
      </c>
      <c r="N77" s="83" t="str">
        <f>IF(SP_NORTE!AL95="","*",SP_NORTE!AL95)</f>
        <v>ZEC-ZKY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>
        <f>IF(SP_NORTE!B96="","*",SP_NORTE!B96)</f>
        <v>46060</v>
      </c>
      <c r="B78" s="83" t="str">
        <f>IF(SP_NORTE!W96="","*",SP_NORTE!W96)</f>
        <v>Oportunidade</v>
      </c>
      <c r="C78" s="83" t="str">
        <f>IF(SP_NORTE!R96="","*",SP_NORTE!R96)</f>
        <v>SP NORTE</v>
      </c>
      <c r="D78" s="83" t="str">
        <f>IF(SP_NORTE!S96="","*",SP_NORTE!S96)</f>
        <v>ZEB-ZCZ</v>
      </c>
      <c r="E78" s="83" t="str">
        <f>IF(SP_NORTE!D96="","*",SP_NORTE!D96)</f>
        <v>JULIO CÉSAR (TP-701)</v>
      </c>
      <c r="F78" s="83" t="str">
        <f>IF(SP_NORTE!G96="","*",SP_NORTE!G96)</f>
        <v>-</v>
      </c>
      <c r="G78" s="83" t="str">
        <f>IF(SP_NORTE!L96="","*",SP_NORTE!L96)</f>
        <v>ZUC-ZCG</v>
      </c>
      <c r="H78" s="116">
        <f>IF(SP_NORTE!J96="","*",SP_NORTE!J96)</f>
        <v>169.7</v>
      </c>
      <c r="I78" s="113">
        <f>IF(SP_NORTE!N96="","*",SP_NORTE!N96)</f>
        <v>0.375</v>
      </c>
      <c r="J78" s="113">
        <f>IF(SP_NORTE!O96="","*",SP_NORTE!O96)</f>
        <v>6.25E-2</v>
      </c>
      <c r="K78" s="83" t="str">
        <f>IF(SP_NORTE!AJ96="","*",SP_NORTE!AJ96)</f>
        <v>-</v>
      </c>
      <c r="L78" s="83" t="str">
        <f>IF(SP_NORTE!AL96="","*",SP_NORTE!AL96)</f>
        <v>ZUC-ZCG</v>
      </c>
      <c r="M78" s="83">
        <f>IF(SP_NORTE!AO96="","*",SP_NORTE!AO96)</f>
        <v>169.7</v>
      </c>
      <c r="N78" s="83" t="str">
        <f>IF(SP_NORTE!AL96="","*",SP_NORTE!AL96)</f>
        <v>ZUC-ZCG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>
        <f>IF(SP_NORTE!B98="","*",SP_NORTE!B98)</f>
        <v>46060</v>
      </c>
      <c r="B80" s="83" t="str">
        <f>IF(SP_NORTE!W98="","*",SP_NORTE!W98)</f>
        <v>Oportunidade</v>
      </c>
      <c r="C80" s="83" t="str">
        <f>IF(SP_NORTE!R98="","*",SP_NORTE!R98)</f>
        <v>SP NORTE</v>
      </c>
      <c r="D80" s="83" t="str">
        <f>IF(SP_NORTE!S98="","*",SP_NORTE!S98)</f>
        <v>ZRX-ZTI</v>
      </c>
      <c r="E80" s="83" t="str">
        <f>IF(SP_NORTE!D98="","*",SP_NORTE!D98)</f>
        <v xml:space="preserve">TURMA FIXA VIA </v>
      </c>
      <c r="F80" s="83" t="str">
        <f>IF(SP_NORTE!G98="","*",SP_NORTE!G98)</f>
        <v>-</v>
      </c>
      <c r="G80" s="83" t="str">
        <f>IF(SP_NORTE!L98="","*",SP_NORTE!L98)</f>
        <v>ZSK-ZXH</v>
      </c>
      <c r="H80" s="116">
        <f>IF(SP_NORTE!J98="","*",SP_NORTE!J98)</f>
        <v>208</v>
      </c>
      <c r="I80" s="113">
        <f>IF(SP_NORTE!N98="","*",SP_NORTE!N98)</f>
        <v>0.33333333333333331</v>
      </c>
      <c r="J80" s="113">
        <f>IF(SP_NORTE!O98="","*",SP_NORTE!O98)</f>
        <v>8.3333333333333329E-2</v>
      </c>
      <c r="K80" s="83" t="str">
        <f>IF(SP_NORTE!AJ98="","*",SP_NORTE!AJ98)</f>
        <v>-</v>
      </c>
      <c r="L80" s="83" t="str">
        <f>IF(SP_NORTE!AL98="","*",SP_NORTE!AL98)</f>
        <v>ZSK-ZXH</v>
      </c>
      <c r="M80" s="83">
        <f>IF(SP_NORTE!AO98="","*",SP_NORTE!AO98)</f>
        <v>208</v>
      </c>
      <c r="N80" s="83" t="str">
        <f>IF(SP_NORTE!AL98="","*",SP_NORTE!AL98)</f>
        <v>ZSK-ZXH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>
        <f>IF(SP_NORTE!B99="","*",SP_NORTE!B99)</f>
        <v>46060</v>
      </c>
      <c r="B81" s="83" t="str">
        <f>IF(SP_NORTE!W99="","*",SP_NORTE!W99)</f>
        <v>Oportunidade</v>
      </c>
      <c r="C81" s="83" t="str">
        <f>IF(SP_NORTE!R99="","*",SP_NORTE!R99)</f>
        <v>SP NORTE</v>
      </c>
      <c r="D81" s="83" t="str">
        <f>IF(SP_NORTE!S99="","*",SP_NORTE!S99)</f>
        <v>ZRX-ZTI</v>
      </c>
      <c r="E81" s="83" t="str">
        <f>IF(SP_NORTE!D99="","*",SP_NORTE!D99)</f>
        <v>V83</v>
      </c>
      <c r="F81" s="83" t="str">
        <f>IF(SP_NORTE!G99="","*",SP_NORTE!G99)</f>
        <v>ZIQ2</v>
      </c>
      <c r="G81" s="83" t="str">
        <f>IF(SP_NORTE!L99="","*",SP_NORTE!L99)</f>
        <v>ZRQ-ZQX</v>
      </c>
      <c r="H81" s="116">
        <f>IF(SP_NORTE!J99="","*",SP_NORTE!J99)</f>
        <v>139</v>
      </c>
      <c r="I81" s="113">
        <f>IF(SP_NORTE!N99="","*",SP_NORTE!N99)</f>
        <v>0.35416666666666669</v>
      </c>
      <c r="J81" s="113">
        <f>IF(SP_NORTE!O99="","*",SP_NORTE!O99)</f>
        <v>8.3333333333333329E-2</v>
      </c>
      <c r="K81" s="83" t="str">
        <f>IF(SP_NORTE!AJ99="","*",SP_NORTE!AJ99)</f>
        <v>ZIQ2</v>
      </c>
      <c r="L81" s="83" t="str">
        <f>IF(SP_NORTE!AL99="","*",SP_NORTE!AL99)</f>
        <v>ZRQ-ZQX</v>
      </c>
      <c r="M81" s="83">
        <f>IF(SP_NORTE!AO99="","*",SP_NORTE!AO99)</f>
        <v>139</v>
      </c>
      <c r="N81" s="83" t="str">
        <f>IF(SP_NORTE!AL99="","*",SP_NORTE!AL99)</f>
        <v>ZRQ-ZQX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1240</v>
      </c>
      <c r="C2" s="121" t="s">
        <v>995</v>
      </c>
      <c r="D2" s="76" t="s">
        <v>997</v>
      </c>
      <c r="E2" s="76" t="s">
        <v>1241</v>
      </c>
      <c r="F2" s="99" t="s">
        <v>1242</v>
      </c>
      <c r="G2" s="76" t="s">
        <v>1243</v>
      </c>
      <c r="H2" s="76" t="s">
        <v>1244</v>
      </c>
      <c r="I2" s="76" t="s">
        <v>1245</v>
      </c>
      <c r="J2" s="76" t="s">
        <v>1246</v>
      </c>
      <c r="K2" s="78" t="s">
        <v>1247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SIM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OPORTUNIDADE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IF(SP_NORTE!X91="","*",SP_NORTE!X91)</f>
        <v>OPORTUNIDADE</v>
      </c>
      <c r="C87" s="95">
        <f>IF(SP_NORTE!B91="","*",SP_NORTE!B91)</f>
        <v>46059</v>
      </c>
      <c r="D87" s="94" t="str">
        <f>IF(SP_NORTE!D91="","*",SP_NORTE!D91)</f>
        <v>V83</v>
      </c>
      <c r="E87" s="94" t="str">
        <f>IF(SP_NORTE!G91="","*",SP_NORTE!G91)</f>
        <v>ZIQ2</v>
      </c>
      <c r="F87" s="100" t="str">
        <f>IF(SP_NORTE!L91="","*",SP_NORTE!L91)</f>
        <v>ZRQ-ZQX</v>
      </c>
      <c r="G87" s="95" t="str">
        <f>IF(SP_NORTE!H91="","*",SP_NORTE!H91)</f>
        <v>ZIQ</v>
      </c>
      <c r="H87" s="95" t="str">
        <f>IF(SP_NORTE!AA91="","*",SP_NORTE!AA91)</f>
        <v>*</v>
      </c>
      <c r="I87" s="95" t="str">
        <f>IF(SP_NORTE!AB91="","*",SP_NORTE!AB91)</f>
        <v>*</v>
      </c>
      <c r="J87" s="96" t="str">
        <f>IF(SP_NORTE!Z91="","*",SP_NORTE!Z91)</f>
        <v>*</v>
      </c>
      <c r="K87" s="97" t="str">
        <f>IF(SP_NORTE!AC91="","*",SP_NORTE!AC91)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IF(SP_NORTE!X92="","*",SP_NORTE!X92)</f>
        <v>*</v>
      </c>
      <c r="C89" s="95" t="str">
        <f>IF(SP_NORTE!B92="","*",SP_NORTE!B92)</f>
        <v>*</v>
      </c>
      <c r="D89" s="94" t="str">
        <f>IF(SP_NORTE!D92="","*",SP_NORTE!D92)</f>
        <v>*</v>
      </c>
      <c r="E89" s="94" t="str">
        <f>IF(SP_NORTE!G92="","*",SP_NORTE!G92)</f>
        <v>*</v>
      </c>
      <c r="F89" s="100" t="str">
        <f>IF(SP_NORTE!L92="","*",SP_NORTE!L92)</f>
        <v>-</v>
      </c>
      <c r="G89" s="95" t="str">
        <f>IF(SP_NORTE!H92="","*",SP_NORTE!H92)</f>
        <v>*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>
        <f>IF(SP_NORTE!B94="","*",SP_NORTE!B94)</f>
        <v>46060</v>
      </c>
      <c r="D91" s="94" t="str">
        <f>IF(SP_NORTE!D94="","*",SP_NORTE!D94)</f>
        <v>V87</v>
      </c>
      <c r="E91" s="94" t="str">
        <f>IF(SP_NORTE!G94="","*",SP_NORTE!G94)</f>
        <v>ZDP2</v>
      </c>
      <c r="F91" s="100" t="str">
        <f>IF(SP_NORTE!L94="","*",SP_NORTE!L94)</f>
        <v>ZZM-ZCF</v>
      </c>
      <c r="G91" s="95" t="str">
        <f>IF(SP_NORTE!H94="","*",SP_NORTE!H94)</f>
        <v>ZDP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2026-02-06T12:48:05Z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