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196" documentId="8_{B6337239-1A00-434D-AAD0-422EA1FEB5AE}" xr6:coauthVersionLast="47" xr6:coauthVersionMax="47" xr10:uidLastSave="{C8798299-DC74-42BD-9E9D-F480BBB91BB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40" i="1" l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F459" i="13"/>
  <c r="G459" i="13"/>
  <c r="H459" i="13"/>
  <c r="I459" i="13"/>
  <c r="J459" i="13"/>
  <c r="K459" i="13"/>
  <c r="B460" i="13"/>
  <c r="C460" i="13"/>
  <c r="D460" i="13"/>
  <c r="G460" i="13"/>
  <c r="H460" i="13"/>
  <c r="I460" i="13"/>
  <c r="J460" i="13"/>
  <c r="K460" i="13"/>
  <c r="B461" i="13"/>
  <c r="C461" i="13"/>
  <c r="D461" i="13"/>
  <c r="E461" i="13"/>
  <c r="F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F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G468" i="13"/>
  <c r="H468" i="13"/>
  <c r="I468" i="13"/>
  <c r="J468" i="13"/>
  <c r="K468" i="13"/>
  <c r="B469" i="13"/>
  <c r="C469" i="13"/>
  <c r="D469" i="13"/>
  <c r="E469" i="13"/>
  <c r="F469" i="13"/>
  <c r="G469" i="13"/>
  <c r="H469" i="13"/>
  <c r="I469" i="13"/>
  <c r="J469" i="13"/>
  <c r="K469" i="13"/>
  <c r="B470" i="13"/>
  <c r="C470" i="13"/>
  <c r="D470" i="13"/>
  <c r="G470" i="13"/>
  <c r="H470" i="13"/>
  <c r="I470" i="13"/>
  <c r="J470" i="13"/>
  <c r="K470" i="13"/>
  <c r="B471" i="13"/>
  <c r="C471" i="13"/>
  <c r="D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G473" i="13"/>
  <c r="H473" i="13"/>
  <c r="I473" i="13"/>
  <c r="J473" i="13"/>
  <c r="K473" i="13"/>
  <c r="B474" i="13"/>
  <c r="C474" i="13"/>
  <c r="D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G483" i="13"/>
  <c r="H483" i="13"/>
  <c r="I483" i="13"/>
  <c r="J483" i="13"/>
  <c r="K483" i="13"/>
  <c r="B484" i="13"/>
  <c r="C484" i="13"/>
  <c r="D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F488" i="13"/>
  <c r="G488" i="13"/>
  <c r="H488" i="13"/>
  <c r="I488" i="13"/>
  <c r="J488" i="13"/>
  <c r="K488" i="13"/>
  <c r="B489" i="13"/>
  <c r="C489" i="13"/>
  <c r="D489" i="13"/>
  <c r="E489" i="13"/>
  <c r="F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G491" i="13"/>
  <c r="H491" i="13"/>
  <c r="I491" i="13"/>
  <c r="J491" i="13"/>
  <c r="K491" i="13"/>
  <c r="B492" i="13"/>
  <c r="C492" i="13"/>
  <c r="D492" i="13"/>
  <c r="E492" i="13"/>
  <c r="F492" i="13"/>
  <c r="G492" i="13"/>
  <c r="H492" i="13"/>
  <c r="I492" i="13"/>
  <c r="J492" i="13"/>
  <c r="K492" i="13"/>
  <c r="B493" i="13"/>
  <c r="C493" i="13"/>
  <c r="D493" i="13"/>
  <c r="E493" i="13"/>
  <c r="F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N535" i="1" a="1"/>
  <c r="N535" i="1"/>
  <c r="L533" i="12" s="1"/>
  <c r="M535" i="1" a="1"/>
  <c r="M535" i="1"/>
  <c r="N534" i="1" a="1"/>
  <c r="N534" i="1"/>
  <c r="L532" i="12" s="1"/>
  <c r="M534" i="1" a="1"/>
  <c r="M534" i="1"/>
  <c r="N533" i="1" a="1"/>
  <c r="N533" i="1"/>
  <c r="L531" i="12" s="1"/>
  <c r="M533" i="1" a="1"/>
  <c r="M533" i="1"/>
  <c r="N532" i="1" a="1"/>
  <c r="N532" i="1"/>
  <c r="L530" i="12" s="1"/>
  <c r="M532" i="1" a="1"/>
  <c r="M532" i="1"/>
  <c r="N531" i="1" a="1"/>
  <c r="N531" i="1"/>
  <c r="L529" i="12" s="1"/>
  <c r="M531" i="1" a="1"/>
  <c r="M531" i="1"/>
  <c r="L528" i="12"/>
  <c r="N529" i="1" a="1"/>
  <c r="N529" i="1"/>
  <c r="L527" i="12" s="1"/>
  <c r="M529" i="1" a="1"/>
  <c r="M529" i="1"/>
  <c r="N528" i="1" a="1"/>
  <c r="N528" i="1"/>
  <c r="L526" i="12" s="1"/>
  <c r="M528" i="1" a="1"/>
  <c r="M528" i="1"/>
  <c r="N527" i="1" a="1"/>
  <c r="N527" i="1"/>
  <c r="L525" i="12" s="1"/>
  <c r="M527" i="1" a="1"/>
  <c r="M527" i="1"/>
  <c r="L524" i="12"/>
  <c r="N525" i="1" a="1"/>
  <c r="N525" i="1"/>
  <c r="L523" i="12" s="1"/>
  <c r="M525" i="1" a="1"/>
  <c r="M525" i="1"/>
  <c r="N524" i="1" a="1"/>
  <c r="N524" i="1"/>
  <c r="L522" i="12" s="1"/>
  <c r="M524" i="1" a="1"/>
  <c r="M524" i="1"/>
  <c r="N523" i="1" a="1"/>
  <c r="N523" i="1"/>
  <c r="L521" i="12" s="1"/>
  <c r="M523" i="1" a="1"/>
  <c r="M523" i="1"/>
  <c r="L520" i="12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R507" i="1" s="1"/>
  <c r="BF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27" i="1" l="1"/>
  <c r="AJ543" i="1"/>
  <c r="AJ542" i="1"/>
  <c r="AJ541" i="1"/>
  <c r="AJ540" i="1"/>
  <c r="AJ539" i="1"/>
  <c r="AJ538" i="1"/>
  <c r="AJ537" i="1"/>
  <c r="AJ534" i="1"/>
  <c r="AJ535" i="1"/>
  <c r="AJ533" i="1"/>
  <c r="AJ528" i="1"/>
  <c r="AJ530" i="1"/>
  <c r="AJ529" i="1"/>
  <c r="AJ526" i="1"/>
  <c r="AJ525" i="1"/>
  <c r="AJ524" i="1"/>
  <c r="AJ523" i="1"/>
  <c r="AJ522" i="1"/>
  <c r="K461" i="12"/>
  <c r="F439" i="13"/>
  <c r="F456" i="13"/>
  <c r="K478" i="12"/>
  <c r="F455" i="13"/>
  <c r="K477" i="12"/>
  <c r="F454" i="13"/>
  <c r="K476" i="12"/>
  <c r="F453" i="13"/>
  <c r="K475" i="12"/>
  <c r="F452" i="13"/>
  <c r="K474" i="12"/>
  <c r="F451" i="13"/>
  <c r="K473" i="12"/>
  <c r="K471" i="12"/>
  <c r="F449" i="13"/>
  <c r="K470" i="12"/>
  <c r="F448" i="13"/>
  <c r="K468" i="12"/>
  <c r="F446" i="13"/>
  <c r="K467" i="12"/>
  <c r="F445" i="13"/>
  <c r="K465" i="12"/>
  <c r="F443" i="13"/>
  <c r="K464" i="12"/>
  <c r="F442" i="13"/>
  <c r="K463" i="12"/>
  <c r="F441" i="13"/>
  <c r="K462" i="12"/>
  <c r="F440" i="13"/>
  <c r="K469" i="12"/>
  <c r="F447" i="13"/>
  <c r="F450" i="13"/>
  <c r="K472" i="12"/>
  <c r="F464" i="13"/>
  <c r="K486" i="12"/>
  <c r="F475" i="13"/>
  <c r="K497" i="12"/>
  <c r="F457" i="13"/>
  <c r="K479" i="12"/>
  <c r="F463" i="13"/>
  <c r="K485" i="12"/>
  <c r="F462" i="13"/>
  <c r="K484" i="12"/>
  <c r="F460" i="13"/>
  <c r="K482" i="12"/>
  <c r="E460" i="13"/>
  <c r="I482" i="12"/>
  <c r="F467" i="13"/>
  <c r="K489" i="12"/>
  <c r="F470" i="13"/>
  <c r="K492" i="12"/>
  <c r="F471" i="13"/>
  <c r="K493" i="12"/>
  <c r="F472" i="13"/>
  <c r="K494" i="12"/>
  <c r="F473" i="13"/>
  <c r="K495" i="12"/>
  <c r="F474" i="13"/>
  <c r="K496" i="12"/>
  <c r="F476" i="13"/>
  <c r="K498" i="12"/>
  <c r="F477" i="13"/>
  <c r="K499" i="12"/>
  <c r="F478" i="13"/>
  <c r="K500" i="12"/>
  <c r="F479" i="13"/>
  <c r="K501" i="12"/>
  <c r="F480" i="13"/>
  <c r="K502" i="12"/>
  <c r="F481" i="13"/>
  <c r="K503" i="12"/>
  <c r="F482" i="13"/>
  <c r="K504" i="12"/>
  <c r="F483" i="13"/>
  <c r="K505" i="12"/>
  <c r="F484" i="13"/>
  <c r="K506" i="12"/>
  <c r="F486" i="13"/>
  <c r="K508" i="12"/>
  <c r="F487" i="13"/>
  <c r="K509" i="12"/>
  <c r="F490" i="13"/>
  <c r="K512" i="12"/>
  <c r="F491" i="13"/>
  <c r="K513" i="12"/>
  <c r="F496" i="13"/>
  <c r="K518" i="12"/>
  <c r="F497" i="13"/>
  <c r="K519" i="12"/>
  <c r="F498" i="13"/>
  <c r="K520" i="12"/>
  <c r="F499" i="13"/>
  <c r="K521" i="12"/>
  <c r="F500" i="13"/>
  <c r="K522" i="12"/>
  <c r="F501" i="13"/>
  <c r="K523" i="12"/>
  <c r="F502" i="13"/>
  <c r="K524" i="12"/>
  <c r="F503" i="13"/>
  <c r="K525" i="12"/>
  <c r="F504" i="13"/>
  <c r="K526" i="12"/>
  <c r="F505" i="13"/>
  <c r="K527" i="12"/>
  <c r="F506" i="13"/>
  <c r="K528" i="12"/>
  <c r="F507" i="13"/>
  <c r="K529" i="12"/>
  <c r="F508" i="13"/>
  <c r="K530" i="12"/>
  <c r="F509" i="13"/>
  <c r="K531" i="12"/>
  <c r="F510" i="13"/>
  <c r="K532" i="12"/>
  <c r="F511" i="13"/>
  <c r="K533" i="12"/>
  <c r="F512" i="13"/>
  <c r="K534" i="12"/>
  <c r="F513" i="13"/>
  <c r="K535" i="12"/>
  <c r="F514" i="13"/>
  <c r="K536" i="12"/>
  <c r="F515" i="13"/>
  <c r="K537" i="12"/>
  <c r="F516" i="13"/>
  <c r="K538" i="12"/>
  <c r="F517" i="13"/>
  <c r="K539" i="12"/>
  <c r="F518" i="13"/>
  <c r="K540" i="12"/>
  <c r="F519" i="13"/>
  <c r="K541" i="12"/>
  <c r="E483" i="13"/>
  <c r="I505" i="12"/>
  <c r="E484" i="13"/>
  <c r="I506" i="12"/>
  <c r="E490" i="13"/>
  <c r="I512" i="12"/>
  <c r="E491" i="13"/>
  <c r="I513" i="12"/>
  <c r="F494" i="13"/>
  <c r="K516" i="12"/>
  <c r="F495" i="13"/>
  <c r="K517" i="12"/>
  <c r="F468" i="13"/>
  <c r="K490" i="12"/>
  <c r="F466" i="13"/>
  <c r="K488" i="12"/>
  <c r="E468" i="13"/>
  <c r="I490" i="12"/>
  <c r="E470" i="13"/>
  <c r="I492" i="12"/>
  <c r="E471" i="13"/>
  <c r="I493" i="12"/>
  <c r="E473" i="13"/>
  <c r="I495" i="12"/>
  <c r="E474" i="13"/>
  <c r="I496" i="12"/>
  <c r="F485" i="13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M503" i="11"/>
  <c r="K503" i="11"/>
  <c r="C503" i="11"/>
  <c r="K510" i="11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C498" i="11"/>
  <c r="C535" i="11"/>
  <c r="F152" i="13"/>
  <c r="F161" i="13"/>
  <c r="F234" i="13"/>
  <c r="F249" i="13"/>
  <c r="F61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20" i="13"/>
  <c r="F523" i="13"/>
  <c r="F526" i="13"/>
  <c r="F529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<sst xmlns="http://schemas.openxmlformats.org/spreadsheetml/2006/main" count="11661" uniqueCount="1752">
  <si>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</si>
  <si>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</si>
  <si>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</si>
  <si>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</si>
  <si>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</si>
  <si>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</si>
  <si>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</si>
  <si>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</si>
  <si>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</si>
  <si>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</si>
  <si>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</si>
  <si>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</si>
  <si>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</si>
  <si>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</si>
  <si>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</si>
  <si>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</si>
  <si>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</si>
  <si>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</si>
  <si>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</si>
  <si>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</si>
  <si>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</si>
  <si>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</si>
  <si>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</si>
  <si>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</si>
  <si>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</si>
  <si>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</si>
  <si>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</si>
  <si>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</si>
  <si>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</si>
  <si>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</si>
  <si>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</si>
  <si>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</si>
  <si>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</si>
  <si>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</si>
  <si>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</si>
  <si>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</si>
  <si>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</si>
  <si>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</si>
  <si>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</si>
  <si>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</si>
  <si>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</si>
  <si>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</si>
  <si>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</si>
  <si>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</si>
  <si>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</si>
  <si>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</si>
  <si>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</si>
  <si>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</si>
  <si>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</si>
  <si>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</si>
  <si>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</si>
  <si>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</si>
  <si>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</si>
  <si>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</si>
  <si>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</si>
  <si>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</si>
  <si>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</si>
  <si>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</si>
  <si>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</si>
  <si>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</si>
  <si>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</si>
  <si>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</si>
  <si>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</si>
  <si>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</si>
  <si>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</si>
  <si>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</si>
  <si>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</si>
  <si>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</si>
  <si>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</si>
  <si>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</si>
  <si>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</si>
  <si>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</si>
  <si>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</si>
  <si>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</si>
  <si>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</si>
  <si>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</si>
  <si>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</si>
  <si>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</si>
  <si>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</si>
  <si>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</si>
  <si>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</si>
  <si>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</si>
  <si>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</si>
  <si>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</si>
  <si>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</si>
  <si>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</si>
  <si>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</si>
  <si>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</si>
  <si>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</si>
  <si>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</si>
  <si>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</si>
  <si>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</si>
  <si>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</si>
  <si>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</si>
  <si>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</si>
  <si>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</si>
  <si>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</si>
  <si>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</si>
  <si>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</si>
  <si>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</si>
  <si>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</si>
  <si>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</si>
  <si>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</si>
  <si>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</si>
  <si>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</si>
  <si>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</si>
  <si>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</si>
  <si>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</si>
  <si>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</si>
  <si>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</si>
  <si>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</si>
  <si>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</si>
  <si>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</si>
  <si>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</si>
  <si>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</si>
  <si>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</si>
  <si>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</si>
  <si>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</si>
  <si>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</si>
  <si>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</si>
  <si>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</si>
  <si>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</si>
  <si>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</si>
  <si>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</si>
  <si>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</si>
  <si>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</si>
  <si>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</si>
  <si>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</si>
  <si>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</si>
  <si>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</si>
  <si>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</si>
  <si>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</si>
  <si>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</si>
  <si>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</si>
  <si>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</si>
  <si>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</si>
  <si>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</si>
  <si>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</si>
  <si>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</si>
  <si>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</si>
  <si>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</si>
  <si>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</si>
  <si>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</si>
  <si>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</si>
  <si>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</si>
  <si>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</si>
  <si>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</si>
  <si>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</si>
  <si>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</si>
  <si>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</si>
  <si>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</si>
  <si>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</si>
  <si>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</si>
  <si>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</si>
  <si>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</si>
  <si>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</si>
  <si>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</si>
  <si>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</si>
  <si>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</si>
  <si>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</si>
  <si>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</si>
  <si>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</si>
  <si>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</si>
  <si>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</si>
  <si>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</si>
  <si>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</si>
  <si>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</si>
  <si>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</si>
  <si>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</si>
  <si>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</si>
  <si>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</si>
  <si>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</si>
  <si>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</si>
  <si>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</si>
  <si>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</si>
  <si>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</si>
  <si>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</si>
  <si>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</si>
  <si>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</si>
  <si>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</si>
  <si>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</si>
  <si>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</si>
  <si>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</si>
  <si>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</si>
  <si>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</si>
  <si>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</si>
  <si>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</si>
  <si>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</si>
  <si>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</si>
  <si>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</si>
  <si>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</si>
  <si>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</si>
  <si>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</si>
  <si>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</si>
  <si>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</si>
  <si>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</si>
  <si>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</si>
  <si>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</si>
  <si>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</si>
  <si>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</si>
  <si>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</si>
  <si>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</si>
  <si>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</si>
  <si>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</si>
  <si>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</si>
  <si>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</si>
  <si>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</si>
  <si>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</si>
  <si>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</si>
  <si>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</si>
  <si>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</si>
  <si>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</si>
  <si>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</si>
  <si>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</si>
  <si>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</si>
  <si>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</si>
  <si>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</si>
  <si>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</si>
  <si>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</si>
  <si>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</si>
  <si>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</si>
  <si>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</si>
  <si>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</si>
  <si>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</si>
  <si>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</si>
  <si>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</si>
  <si>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</si>
  <si>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</si>
  <si>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</si>
  <si>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</si>
  <si>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</si>
  <si>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</si>
  <si>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</si>
  <si>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</si>
  <si>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</si>
  <si>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</si>
  <si>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</si>
  <si>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</si>
  <si>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</si>
  <si>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</si>
  <si>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</si>
  <si>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</si>
  <si>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</si>
  <si>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</si>
  <si>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</si>
  <si>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</si>
  <si>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</si>
  <si>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</si>
  <si>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</si>
  <si>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</si>
  <si>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</si>
  <si>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</si>
  <si>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</si>
  <si>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</si>
  <si>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</si>
  <si>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</si>
  <si>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</si>
  <si>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</si>
  <si>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</si>
  <si>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</si>
  <si>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</si>
  <si>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</si>
  <si>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</si>
  <si>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</si>
  <si>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</si>
  <si>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</si>
  <si>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</si>
  <si>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</si>
  <si>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</si>
  <si>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</si>
  <si>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</si>
  <si>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</si>
  <si>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</si>
  <si>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</si>
  <si>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</si>
  <si>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</si>
  <si>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</si>
  <si>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</si>
  <si>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</si>
  <si>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</si>
  <si>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</si>
  <si>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</si>
  <si>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</si>
  <si>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</si>
  <si>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</si>
  <si>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</si>
  <si>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</si>
  <si>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</si>
  <si>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</si>
  <si>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</si>
  <si>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</si>
  <si>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</si>
  <si>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</si>
  <si>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</si>
  <si>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</si>
  <si>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</si>
  <si>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</si>
  <si>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</si>
  <si>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</si>
  <si>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</si>
  <si>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</si>
  <si>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</si>
  <si>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</si>
  <si>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</si>
  <si>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</si>
  <si>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</si>
  <si>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</si>
  <si>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</si>
  <si>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</si>
  <si>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</si>
  <si>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</si>
  <si>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</si>
  <si>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</si>
  <si>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</si>
  <si>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</si>
  <si>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</si>
  <si>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</si>
  <si>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</si>
  <si>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</si>
  <si>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</si>
  <si>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</si>
  <si>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</si>
  <si>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</si>
  <si>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</si>
  <si>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</si>
  <si>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</si>
  <si>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</si>
  <si>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</si>
  <si>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</si>
  <si>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</si>
  <si>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</si>
  <si>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</si>
  <si>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</si>
  <si>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</si>
  <si>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</si>
  <si>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</si>
  <si>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</si>
  <si>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</si>
  <si>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</si>
  <si>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</si>
  <si>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</si>
  <si>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</si>
  <si>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</si>
  <si>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</si>
  <si>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</si>
  <si>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</si>
  <si>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</si>
  <si>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</si>
  <si>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</si>
  <si>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</si>
  <si>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</si>
  <si>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</si>
  <si>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</si>
  <si>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</si>
  <si>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</si>
  <si>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</si>
  <si>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</si>
  <si>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</si>
  <si>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</si>
  <si>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</si>
  <si>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</si>
  <si>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</si>
  <si>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</si>
  <si>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</si>
  <si>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</si>
  <si>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</si>
  <si>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</si>
  <si>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</si>
  <si>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</si>
  <si>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</si>
  <si>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</si>
  <si>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</si>
  <si>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</si>
  <si>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</si>
  <si>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</si>
  <si>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</si>
  <si>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</si>
  <si>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</si>
  <si>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</si>
  <si>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</si>
  <si>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</si>
  <si>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</si>
  <si>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</si>
  <si>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</si>
  <si>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</si>
  <si>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</si>
  <si>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</si>
  <si>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</si>
  <si>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</si>
  <si>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</si>
  <si>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</si>
  <si>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</si>
  <si>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</si>
  <si>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</si>
  <si>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</si>
  <si>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</si>
  <si>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</si>
  <si>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</si>
  <si>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</si>
  <si>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</si>
  <si>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</si>
  <si>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</si>
  <si>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</si>
  <si>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</si>
  <si>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</si>
  <si>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</si>
  <si>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</si>
  <si>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</si>
  <si>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</si>
  <si>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</si>
  <si>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</si>
  <si>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</si>
  <si>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</si>
  <si>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</si>
  <si>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</si>
  <si>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</si>
  <si>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</si>
  <si>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</si>
  <si>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</si>
  <si>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</si>
  <si>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</si>
  <si>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</si>
  <si>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</si>
  <si>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</si>
  <si>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</si>
  <si>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</si>
  <si>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</si>
  <si>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</si>
  <si>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</si>
  <si>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</si>
  <si>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</si>
  <si>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</si>
  <si>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</si>
  <si>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</si>
  <si>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</si>
  <si>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</si>
  <si>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</si>
  <si>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</si>
  <si>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</si>
  <si>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</si>
  <si>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</si>
  <si>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</si>
  <si>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</si>
  <si>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</si>
  <si>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</si>
  <si>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</si>
  <si>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</si>
  <si>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</si>
  <si>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</si>
  <si>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</si>
  <si>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</si>
  <si>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</si>
  <si>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</si>
  <si>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</si>
  <si>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</si>
  <si>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</si>
  <si>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</si>
  <si>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</si>
  <si>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</si>
  <si>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</si>
  <si>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</si>
  <si>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</si>
  <si>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</si>
  <si>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</si>
  <si>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</si>
  <si>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</si>
  <si>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</si>
  <si>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</si>
  <si>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</si>
  <si>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</si>
  <si>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</si>
  <si>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</si>
  <si>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</si>
  <si>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</si>
  <si>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</si>
  <si>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</si>
  <si>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</si>
  <si>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</si>
  <si>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</si>
  <si>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</si>
  <si>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</si>
  <si>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</si>
  <si>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</si>
  <si>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</si>
  <si>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</si>
  <si>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</si>
  <si>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</si>
  <si>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</si>
  <si>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</si>
  <si>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</si>
  <si>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</si>
  <si>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</si>
  <si>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</si>
  <si>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</si>
  <si>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</si>
  <si>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</si>
  <si>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</si>
  <si>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</si>
  <si>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</si>
  <si>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</si>
  <si>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</si>
  <si>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</si>
  <si>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</si>
  <si>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</si>
  <si>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</si>
  <si>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</si>
  <si>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</si>
  <si>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</si>
  <si>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</si>
  <si>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</si>
  <si>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</si>
  <si>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</si>
  <si>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</si>
  <si>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</si>
  <si>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</si>
  <si>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</si>
  <si>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</si>
  <si>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</si>
  <si>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</si>
  <si>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</si>
  <si>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</si>
  <si>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</si>
  <si>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</si>
  <si>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</si>
  <si>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</si>
  <si>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</si>
  <si>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</si>
  <si>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</si>
  <si>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</si>
  <si>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</si>
  <si>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</si>
  <si>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</si>
  <si>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</si>
  <si>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</si>
  <si>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</si>
  <si>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</si>
  <si>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</si>
  <si>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</si>
  <si>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</si>
  <si>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</si>
  <si>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</si>
  <si>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</si>
  <si>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</si>
  <si>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</si>
  <si>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</si>
  <si>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</si>
  <si>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</si>
  <si>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</si>
  <si>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</si>
  <si>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</si>
  <si>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</si>
  <si>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</si>
  <si>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</si>
  <si>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</si>
  <si>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</si>
  <si>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</si>
  <si>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</si>
  <si>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</si>
  <si>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</si>
  <si>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</si>
  <si>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</si>
  <si>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</si>
  <si>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</si>
  <si>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</si>
  <si>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</si>
  <si>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</si>
  <si>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</si>
  <si>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</si>
  <si>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</si>
  <si>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</si>
  <si>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</si>
  <si>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</si>
  <si>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</si>
  <si>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</si>
  <si>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</si>
  <si>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</si>
  <si>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</si>
  <si>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</si>
  <si>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</si>
  <si>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</si>
  <si>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</si>
  <si>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</si>
  <si>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</si>
  <si>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</si>
  <si>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</si>
  <si>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</si>
  <si>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</si>
  <si>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</si>
  <si>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</si>
  <si>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</si>
  <si>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</si>
  <si>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</si>
  <si>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</si>
  <si>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</si>
  <si>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</si>
  <si>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</si>
  <si>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</si>
  <si>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</si>
  <si>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</si>
  <si>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</si>
  <si>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</si>
  <si>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</si>
  <si>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</si>
  <si>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</si>
  <si>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</si>
  <si>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</si>
  <si>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</si>
  <si>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</si>
  <si>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</si>
  <si>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</si>
  <si>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</si>
  <si>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</si>
  <si>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</si>
  <si>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</si>
  <si>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</si>
  <si>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</si>
  <si>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</si>
  <si>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</si>
  <si>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</si>
  <si>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</si>
  <si>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</si>
  <si>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</si>
  <si>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</si>
  <si>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</si>
  <si>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</si>
  <si>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</si>
  <si>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</si>
  <si>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</si>
  <si>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</si>
  <si>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</si>
  <si>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</si>
  <si>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</si>
  <si>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</si>
  <si>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</si>
  <si>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</si>
  <si>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</si>
  <si>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</si>
  <si>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</si>
  <si>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</si>
  <si>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</si>
  <si>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</si>
  <si>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</si>
  <si>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</si>
  <si>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</si>
  <si>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</si>
  <si>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</si>
  <si>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</si>
  <si>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</si>
  <si>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</si>
  <si>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</si>
  <si>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</si>
  <si>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</si>
  <si>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</si>
  <si>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</si>
  <si>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</si>
  <si>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</si>
  <si>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</si>
  <si>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</si>
  <si>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</si>
  <si>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</si>
  <si>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</si>
  <si>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</si>
  <si>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</si>
  <si>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</si>
  <si>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</si>
  <si>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</si>
  <si>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</si>
  <si>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</si>
  <si>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</si>
  <si>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</si>
  <si>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</si>
  <si>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</si>
  <si>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</si>
  <si>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</si>
  <si>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</si>
  <si>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</si>
  <si>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</si>
  <si>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</si>
  <si>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</si>
  <si>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</si>
  <si>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</si>
  <si>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</si>
  <si>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</si>
  <si>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</si>
  <si>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</si>
  <si>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</si>
  <si>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</si>
  <si>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</si>
  <si>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</si>
  <si>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</si>
  <si>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</si>
  <si>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</si>
  <si>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</si>
  <si>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</si>
  <si>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</si>
  <si>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</si>
  <si>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</si>
  <si>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</si>
  <si>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</si>
  <si>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</si>
  <si>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</si>
  <si>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</si>
  <si>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</si>
  <si>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</si>
  <si>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</si>
  <si>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</si>
  <si>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</si>
  <si>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</si>
  <si>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</si>
  <si>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</si>
  <si>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</si>
  <si>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</si>
  <si>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</si>
  <si>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</si>
  <si>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</si>
  <si>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</si>
  <si>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</si>
  <si>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</si>
  <si>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</si>
  <si>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</si>
  <si>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</si>
  <si>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</si>
  <si>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</si>
  <si>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</si>
  <si>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</si>
  <si>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</si>
  <si>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</si>
  <si>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</si>
  <si>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</si>
  <si>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</si>
  <si>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</si>
  <si>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</si>
  <si>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</si>
  <si>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</si>
  <si>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</si>
  <si>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</si>
  <si>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</si>
  <si>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</si>
  <si>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</si>
  <si>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</si>
  <si>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</si>
  <si>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</si>
  <si>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</si>
  <si>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</si>
  <si>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</si>
  <si>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</si>
  <si>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</si>
  <si>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</si>
  <si>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</si>
  <si>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</si>
  <si>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</si>
  <si>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</si>
  <si>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</si>
  <si>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</si>
  <si>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</si>
  <si>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</si>
  <si>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</si>
  <si>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</si>
  <si>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</si>
  <si>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</si>
  <si>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</si>
  <si>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</si>
  <si>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</si>
  <si>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</si>
  <si>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</si>
  <si>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</si>
  <si>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</si>
  <si>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</si>
  <si>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</si>
  <si>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</si>
  <si>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</si>
  <si>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</si>
  <si>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</si>
  <si>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</si>
  <si>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</si>
  <si>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</si>
  <si>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</si>
  <si>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</si>
  <si>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</si>
  <si>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</si>
  <si>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</si>
  <si>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</si>
  <si>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</si>
  <si>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</si>
  <si>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</si>
  <si>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</si>
  <si>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</si>
  <si>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</si>
  <si>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</si>
  <si>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</si>
  <si>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</si>
  <si>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</si>
  <si>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</si>
  <si>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</si>
  <si>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</si>
  <si>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</si>
  <si>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</si>
  <si>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</si>
  <si>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</si>
  <si>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</si>
  <si>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</si>
  <si>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</si>
  <si>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</si>
  <si>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</si>
  <si>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</si>
  <si>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</si>
  <si>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</si>
  <si>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</si>
  <si>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</si>
  <si>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</si>
  <si>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</si>
  <si>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</si>
  <si>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</si>
  <si>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</si>
  <si>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</si>
  <si>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</si>
  <si>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</si>
  <si>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</si>
  <si>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</si>
  <si>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</si>
  <si>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</si>
  <si>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</si>
  <si>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</si>
  <si>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</si>
  <si>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</si>
  <si>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</si>
  <si>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</si>
  <si>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</si>
  <si>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</si>
  <si>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</si>
  <si>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</si>
  <si>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</si>
  <si>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</si>
  <si>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</si>
  <si>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</si>
  <si>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</si>
  <si>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</si>
  <si>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</si>
  <si>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</si>
  <si>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</si>
  <si>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</si>
  <si>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</si>
  <si>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</si>
  <si>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</si>
  <si>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</si>
  <si>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</si>
  <si>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</si>
  <si>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</si>
  <si>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</si>
  <si>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</si>
  <si>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</si>
  <si>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</si>
  <si>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</si>
  <si>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</si>
  <si>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</si>
  <si>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</si>
  <si>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</si>
  <si>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</si>
  <si>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</si>
  <si>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</si>
  <si>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</si>
  <si>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</si>
  <si>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</si>
  <si>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</si>
  <si>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</si>
  <si>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</si>
  <si>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</si>
  <si>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</si>
  <si>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</si>
  <si>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</si>
  <si>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</si>
  <si>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</si>
  <si>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</si>
  <si>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</si>
  <si>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</si>
  <si>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</si>
  <si>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</si>
  <si>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</si>
  <si>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</si>
  <si>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</si>
  <si>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</si>
  <si>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</si>
  <si>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</si>
  <si>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</si>
  <si>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</si>
  <si>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</si>
  <si>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</si>
  <si>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</si>
  <si>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</si>
  <si>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</si>
  <si>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</si>
  <si>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</si>
  <si>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</si>
  <si>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</si>
  <si>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</si>
  <si>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</si>
  <si>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</si>
  <si>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</si>
  <si>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</si>
  <si>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</si>
  <si>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</si>
  <si>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</si>
  <si>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</si>
  <si>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</si>
  <si>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</si>
  <si>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</si>
  <si>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</si>
  <si>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</si>
  <si>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</si>
  <si>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</si>
  <si>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</si>
  <si>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</si>
  <si>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</si>
  <si>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</si>
  <si>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</si>
  <si>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</si>
  <si>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</si>
  <si>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</si>
  <si>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</si>
  <si>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</si>
  <si>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</si>
  <si>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</si>
  <si>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</si>
  <si>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</si>
  <si>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</si>
  <si>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</si>
  <si>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</si>
  <si>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</si>
  <si>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</si>
  <si>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</si>
  <si>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</si>
  <si>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</si>
  <si>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</si>
  <si>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</si>
  <si>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</si>
  <si>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</si>
  <si>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</si>
  <si>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</si>
  <si>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</si>
  <si>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</si>
  <si>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</si>
  <si>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</si>
  <si>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</si>
  <si>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</si>
  <si>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</si>
  <si>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</si>
  <si>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</si>
  <si>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</si>
  <si>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</si>
  <si>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</si>
  <si>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</si>
  <si>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</si>
  <si>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</si>
  <si>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</si>
  <si>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</si>
  <si>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</si>
  <si>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</si>
  <si>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</si>
  <si>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</si>
  <si>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</si>
  <si>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</si>
  <si>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</si>
  <si>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</si>
  <si>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</si>
  <si>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</si>
  <si>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</si>
  <si>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</si>
  <si>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</si>
  <si>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</si>
  <si>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</si>
  <si>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</si>
  <si>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</si>
  <si>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</si>
  <si>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</si>
  <si>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</si>
  <si>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</si>
  <si>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</si>
  <si>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</si>
  <si>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</si>
  <si>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</si>
  <si>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</si>
  <si>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</si>
  <si>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</si>
  <si>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</si>
  <si>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</si>
  <si>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</si>
  <si>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</si>
  <si>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</si>
  <si>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</si>
  <si>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</si>
  <si>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</si>
  <si>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</si>
  <si>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</si>
  <si>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</si>
  <si>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</si>
  <si>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</si>
  <si>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</si>
  <si>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</si>
  <si>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</si>
  <si>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</si>
  <si>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</si>
  <si>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</si>
  <si>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</si>
  <si>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</si>
  <si>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</si>
  <si>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</si>
  <si>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</si>
  <si>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</si>
  <si>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</si>
  <si>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</si>
  <si>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</si>
  <si>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</si>
  <si>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</si>
  <si>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</si>
  <si>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</si>
  <si>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</si>
  <si>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</si>
  <si>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</si>
  <si>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</si>
  <si>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</si>
  <si>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</si>
  <si>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</si>
  <si>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</si>
  <si>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</si>
  <si>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</si>
  <si>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</si>
  <si>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</si>
  <si>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</si>
  <si>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</si>
  <si>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</si>
  <si>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</si>
  <si>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</si>
  <si>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</si>
  <si>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</si>
  <si>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</si>
  <si>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</si>
  <si>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</si>
  <si>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</si>
  <si>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</si>
  <si>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</si>
  <si>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</si>
  <si>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</si>
  <si>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</si>
  <si>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</si>
  <si>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</si>
  <si>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</si>
  <si>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</si>
  <si>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</si>
  <si>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</si>
  <si>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</si>
  <si>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</si>
  <si>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</si>
  <si>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</si>
  <si>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</si>
  <si>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</si>
  <si>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</si>
  <si>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</si>
  <si>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</si>
  <si>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</si>
  <si>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</si>
  <si>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</si>
  <si>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</si>
  <si>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</si>
  <si>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</si>
  <si>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</si>
  <si>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</si>
  <si>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</si>
  <si>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</si>
  <si>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</si>
  <si>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</si>
  <si>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</si>
  <si>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</si>
  <si>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</si>
  <si>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</si>
  <si>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</si>
  <si>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</si>
  <si>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</si>
  <si>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</si>
  <si>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</si>
  <si>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</si>
  <si>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</si>
  <si>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</si>
  <si>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</si>
  <si>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</si>
  <si>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</si>
  <si>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</si>
  <si>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</si>
  <si>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</si>
  <si>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</si>
  <si>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</si>
  <si>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</si>
  <si>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</si>
  <si>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</si>
  <si>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</si>
  <si>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</si>
  <si>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</si>
  <si>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</si>
  <si>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</si>
  <si>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</si>
  <si>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</si>
  <si>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</si>
  <si>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</si>
  <si>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</si>
  <si>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</si>
  <si>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</si>
  <si>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</si>
  <si>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</si>
  <si>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</si>
  <si>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</si>
  <si>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</si>
  <si>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</si>
  <si>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</si>
  <si>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</si>
  <si>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</si>
  <si>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</si>
  <si>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</si>
  <si>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</si>
  <si>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</si>
  <si>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</si>
  <si>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</si>
  <si>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</si>
  <si>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</si>
  <si>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</si>
  <si>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</si>
  <si>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</si>
  <si>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</si>
  <si>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</si>
  <si>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</si>
  <si>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</si>
  <si>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</si>
  <si>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</si>
  <si>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</si>
  <si>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</si>
  <si>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</si>
  <si>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</si>
  <si>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</si>
  <si>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</si>
  <si>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</si>
  <si>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</si>
  <si>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</si>
  <si>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</si>
  <si>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</si>
  <si>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</si>
  <si>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</si>
  <si>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</si>
  <si>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</si>
  <si>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</si>
  <si>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</si>
  <si>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</si>
  <si>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</si>
  <si>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</si>
  <si>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</si>
  <si>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</si>
  <si>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</si>
  <si>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</si>
  <si>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</si>
  <si>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</si>
  <si>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</si>
  <si>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</si>
  <si>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</si>
  <si>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</si>
  <si>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</si>
  <si>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</si>
  <si>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</si>
  <si>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</si>
  <si>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</si>
  <si>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</si>
  <si>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</si>
  <si>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</si>
  <si>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</si>
  <si>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</si>
  <si>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</si>
  <si>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</si>
  <si>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</si>
  <si>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</si>
  <si>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</si>
  <si>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</si>
  <si>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</si>
  <si>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</si>
  <si>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</si>
  <si>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</si>
  <si>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</si>
  <si>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</si>
  <si>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</si>
  <si>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</si>
  <si>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</si>
  <si>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</si>
  <si>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</si>
  <si>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</si>
  <si>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</si>
  <si>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</si>
  <si>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</si>
  <si>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</si>
  <si>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</si>
  <si>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</si>
  <si>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</si>
  <si>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</si>
  <si>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</si>
  <si>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</si>
  <si>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</si>
  <si>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</si>
  <si>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</si>
  <si>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</si>
  <si>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</si>
  <si>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</si>
  <si>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</si>
  <si>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</si>
  <si>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</si>
  <si>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</si>
  <si>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</si>
  <si>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</si>
  <si>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</si>
  <si>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</si>
  <si>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</si>
  <si>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</si>
  <si>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</si>
  <si>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</si>
  <si>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</si>
  <si>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</si>
  <si>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</si>
  <si>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</si>
  <si>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</si>
  <si>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</si>
  <si>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</si>
  <si>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</si>
  <si>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</si>
  <si>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</si>
  <si>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</si>
  <si>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</si>
  <si>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</si>
  <si>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</si>
  <si>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</si>
  <si>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</si>
  <si>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</si>
  <si>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</si>
  <si>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</si>
  <si>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</si>
  <si>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</si>
  <si>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</si>
  <si>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</si>
  <si>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</si>
  <si>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</si>
  <si>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</si>
  <si>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</si>
  <si>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</si>
  <si>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</si>
  <si>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</si>
  <si>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</si>
  <si>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</si>
  <si>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</si>
  <si>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</si>
  <si>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</si>
  <si>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</si>
  <si>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</si>
  <si>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</si>
  <si>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</si>
  <si>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</si>
  <si>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</si>
  <si>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</si>
  <si>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</si>
  <si>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</si>
  <si>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</si>
  <si>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</si>
  <si>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</si>
  <si>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</si>
  <si>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</si>
  <si>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</si>
  <si>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</si>
  <si>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</si>
  <si>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</si>
  <si>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</si>
  <si>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</si>
  <si>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</si>
  <si>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</si>
  <si>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</si>
  <si>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</si>
  <si>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</si>
  <si>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</si>
  <si>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</si>
  <si>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</si>
  <si>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</si>
  <si>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</si>
  <si>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</si>
  <si>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</si>
  <si>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</si>
  <si>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</si>
  <si>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</si>
  <si>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</si>
  <si>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</si>
  <si>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</si>
  <si>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</si>
  <si>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</si>
  <si>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</si>
  <si>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</si>
  <si>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</si>
  <si>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</si>
  <si>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</si>
  <si>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</si>
  <si>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</si>
  <si>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</si>
  <si>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</si>
  <si>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</si>
  <si>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</si>
  <si>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</si>
  <si>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</si>
  <si>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</si>
  <si>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</si>
  <si>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</si>
  <si>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</si>
  <si>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</si>
  <si>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</si>
  <si>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</si>
  <si>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</si>
  <si>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</si>
  <si>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</si>
  <si>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</si>
  <si>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</si>
  <si>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</si>
  <si>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</si>
  <si>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</si>
  <si>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</si>
  <si>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</si>
  <si>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</si>
  <si>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</si>
  <si>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</si>
  <si>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</si>
  <si>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</si>
  <si>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</si>
  <si>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</si>
  <si>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</si>
  <si>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</si>
  <si>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</si>
  <si>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</si>
  <si>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</si>
  <si>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</si>
  <si>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</si>
  <si>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</si>
  <si>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</si>
  <si>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</si>
  <si>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</si>
  <si>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</si>
  <si>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</si>
  <si>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</si>
  <si>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</si>
  <si>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</si>
  <si>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</si>
  <si>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</si>
  <si>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</si>
  <si>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</si>
  <si>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</si>
  <si>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</si>
  <si>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</si>
  <si>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</si>
  <si>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</si>
  <si>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</si>
  <si>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</si>
  <si>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</si>
  <si>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</si>
  <si>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</si>
  <si>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</si>
  <si>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</si>
  <si>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</si>
  <si>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</si>
  <si>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</si>
  <si>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</si>
  <si>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</si>
  <si>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</si>
  <si>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</si>
  <si>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</si>
  <si>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</si>
  <si>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</si>
  <si>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</si>
  <si>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</si>
  <si>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</si>
  <si>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</si>
  <si>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</si>
  <si>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</si>
  <si>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</si>
  <si>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</si>
  <si>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</si>
  <si>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</si>
  <si>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</si>
  <si>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</si>
  <si>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</si>
  <si>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</si>
  <si>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</si>
  <si>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</si>
  <si>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</si>
  <si>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</si>
  <si>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</si>
  <si>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</si>
  <si>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</si>
  <si>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</si>
  <si>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</si>
  <si>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</si>
  <si>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</si>
  <si>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</si>
  <si>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</si>
  <si>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</si>
  <si>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</si>
  <si>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</si>
  <si>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</si>
  <si>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</si>
  <si>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</si>
  <si>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</si>
  <si>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</si>
  <si>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</si>
  <si>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</si>
  <si>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</si>
  <si>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</si>
  <si>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</si>
  <si>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</si>
  <si>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</si>
  <si>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</si>
  <si>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</si>
  <si>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</si>
  <si>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</si>
  <si>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</si>
  <si>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</si>
  <si>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</si>
  <si>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</si>
  <si>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</si>
  <si>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</si>
  <si>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</si>
  <si>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</si>
  <si>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</si>
  <si>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</si>
  <si>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</si>
  <si>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</si>
  <si>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</si>
  <si>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</si>
  <si>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</si>
  <si>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</si>
  <si>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</si>
  <si>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</si>
  <si>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</si>
  <si>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</si>
  <si>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</si>
  <si>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</si>
  <si>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</si>
  <si>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</si>
  <si>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</si>
  <si>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</si>
  <si>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</si>
  <si>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</si>
  <si>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</si>
  <si>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</si>
  <si>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</si>
  <si>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</si>
  <si>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</si>
  <si>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</si>
  <si>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</si>
  <si>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</si>
  <si>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</si>
  <si>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</si>
  <si>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</si>
  <si>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</si>
  <si>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</si>
  <si>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</si>
  <si>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</si>
  <si>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</si>
  <si>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</si>
  <si>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</si>
  <si>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</si>
  <si>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</si>
  <si>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</si>
  <si>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</si>
  <si>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</si>
  <si>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</si>
  <si>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</si>
  <si>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</si>
  <si>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</si>
  <si>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</si>
  <si>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</si>
  <si>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</si>
  <si>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</si>
  <si>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</si>
  <si>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</si>
  <si>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</si>
  <si>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</si>
  <si>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</si>
  <si>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</si>
  <si>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</si>
  <si>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</si>
  <si>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</si>
  <si>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</si>
  <si>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</si>
  <si>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</si>
  <si>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</si>
  <si>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</si>
  <si>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</si>
  <si>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</si>
  <si>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</si>
  <si>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</si>
  <si>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</si>
  <si>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</si>
  <si>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</si>
  <si>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</si>
  <si>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</si>
  <si>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</si>
  <si>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</si>
  <si>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</si>
  <si>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</si>
  <si>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</si>
  <si>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</si>
  <si>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</si>
  <si>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</si>
  <si>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</si>
  <si>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</si>
  <si>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</si>
  <si>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</si>
  <si>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</si>
  <si>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</si>
  <si>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</si>
  <si>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</si>
  <si>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</si>
  <si>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</si>
  <si>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</si>
  <si>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</si>
  <si>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</si>
  <si>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</si>
  <si>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</si>
  <si>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</si>
  <si>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</si>
  <si>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</si>
  <si>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</si>
  <si>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</si>
  <si>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</si>
  <si>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</si>
  <si>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</si>
  <si>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</si>
  <si>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</si>
  <si>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</si>
  <si>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</si>
  <si>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</si>
  <si>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</si>
  <si>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</si>
  <si>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</si>
  <si>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</si>
  <si>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</si>
  <si>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</si>
  <si>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</si>
  <si>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</si>
  <si>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</si>
  <si>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</si>
  <si>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</si>
  <si>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</si>
  <si>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</si>
  <si>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</si>
  <si>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</si>
  <si>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</si>
  <si>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</si>
  <si>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</si>
  <si>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</si>
  <si>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</si>
  <si>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</si>
  <si>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</si>
  <si>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</si>
  <si>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</si>
  <si>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</si>
  <si>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</si>
  <si>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</si>
  <si>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</si>
  <si>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</si>
  <si>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</si>
  <si>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</si>
  <si>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</si>
  <si>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</si>
  <si>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</si>
  <si>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</si>
  <si>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</si>
  <si>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</si>
  <si>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</si>
  <si>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</si>
  <si>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</si>
  <si>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</si>
  <si>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</si>
  <si>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</si>
  <si>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</si>
  <si>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</si>
  <si>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</si>
  <si>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</si>
  <si>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</si>
  <si>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</si>
  <si>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</si>
  <si>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</si>
  <si>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</si>
  <si>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</si>
  <si>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</si>
  <si>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</si>
  <si>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</si>
  <si>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</si>
  <si>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</si>
  <si>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</si>
  <si>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</si>
  <si>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</si>
  <si>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</si>
  <si>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</si>
  <si>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</si>
  <si>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</si>
  <si>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</si>
  <si>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</si>
  <si>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</si>
  <si>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</si>
  <si>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</si>
  <si>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</si>
  <si>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</si>
  <si>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</si>
  <si>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</si>
  <si>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</si>
  <si>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</si>
  <si>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</si>
  <si>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</si>
  <si>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</si>
  <si>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</si>
  <si>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</si>
  <si>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</si>
  <si>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</si>
  <si>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</si>
  <si>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</si>
  <si>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</si>
  <si>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</si>
  <si>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</si>
  <si>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</si>
  <si>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</si>
  <si>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</si>
  <si>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</si>
  <si>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</si>
  <si>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</si>
  <si>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</si>
  <si>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</si>
  <si>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</si>
  <si>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</si>
  <si>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</si>
  <si>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</si>
  <si>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</si>
  <si>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</si>
  <si>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MC1 08h25 / previsão de faixa 11h30 /</t>
  </si>
  <si>
    <t>MC1 08h25 / autorizado entrada na via 12h26 / Em deslocamento para ZEM.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</si>
  <si>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</si>
  <si>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</si>
  <si>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</si>
  <si>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</si>
  <si>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</si>
  <si>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</si>
  <si>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</si>
  <si>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</si>
  <si>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</si>
  <si>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</si>
  <si>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</si>
  <si>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</si>
  <si>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</si>
  <si>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</si>
  <si>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</si>
  <si>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</si>
  <si>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</si>
  <si>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</si>
  <si>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</si>
  <si>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</si>
  <si>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Em intervalo das 13h35 até 15h35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</si>
  <si>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</si>
  <si>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</si>
  <si>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</si>
  <si>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</si>
  <si>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</si>
  <si>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</si>
  <si>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</si>
  <si>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</si>
  <si>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Deslocamento direto de ZEV para ZKW</t>
  </si>
  <si>
    <t>Previsão de MC1 12h00.</t>
  </si>
  <si>
    <t>MC1 11h36 / autorizado entrada na via 12h23. Em deslocamento</t>
  </si>
  <si>
    <t>Edson / Moisés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</si>
  <si>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</si>
  <si>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</si>
  <si>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</si>
  <si>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</si>
  <si>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</si>
  <si>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</si>
  <si>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Descarga de dormentes km213+000 ao km214+000  (20min); Descarga de dormentes km 226+000 ao km228+000 (15min); Recolher dormentes km 230+500 (20min); Descarga de pedra km232+800 (30min).</t>
  </si>
  <si>
    <t>102ZKW</t>
  </si>
  <si>
    <t>Descarga trilheiro</t>
  </si>
  <si>
    <t>Antonioni</t>
  </si>
  <si>
    <t>ZEV-ZPG</t>
  </si>
  <si>
    <t>ZEVZPG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</si>
  <si>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</si>
  <si>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</si>
  <si>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</si>
  <si>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</si>
  <si>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</si>
  <si>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</si>
  <si>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</si>
  <si>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</si>
  <si>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Confirmado via telefone</t>
  </si>
  <si>
    <t>7.500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</si>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</sst>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S520" activePane="bottomRight" state="frozen"/>
      <selection pane="bottomRight" activeCell="B527" sqref="B52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0.58263888888888893</v>
      </c>
      <c r="AT492" s="237">
        <v>0.70763888888888893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0.125</v>
      </c>
      <c r="AZ492" s="14"/>
      <c r="BA492" s="72"/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7" t="s">
        <v>994</v>
      </c>
      <c r="BK492" s="17" t="s">
        <v>1636</v>
      </c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Produção</v>
      </c>
      <c r="BR492" s="19">
        <f>IF(OR(B492="",F492=""),"*",AY492/P492)</f>
        <v>1</v>
      </c>
      <c r="BS492" s="19">
        <f>IF(OR(B492="",F492=""),"*",BA492/Q492)</f>
        <v>0</v>
      </c>
      <c r="BT492" s="225" t="str">
        <f t="shared" si="53"/>
        <v/>
      </c>
    </row>
    <row r="493" spans="1:72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tr">
        <f>IF(BS_CONTROLE[[#This Row],[Local - Encerramento]]=0, "-", BS_CONTROLE[[#This Row],[Local - Encerramento]])</f>
        <v>ZEM-1</v>
      </c>
      <c r="AM493" s="273" t="str">
        <f>IF(BS_CONTROLE[[#This Row],[Entre - Estações]]=0, "-", BS_CONTROLE[[#This Row],[Entre - Estações]])</f>
        <v>ZYU-ZEM</v>
      </c>
      <c r="AN493" s="273" t="str">
        <f>IF(BS_CONTROLE[[#This Row],[SB]]=0, "-", BS_CONTROLE[[#This Row],[SB]])</f>
        <v>ZYUZEM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1637</v>
      </c>
      <c r="BK493" s="17" t="s">
        <v>1638</v>
      </c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</v>
      </c>
      <c r="BR493" s="19">
        <f>IF(OR(B493="",F493=""),"*",AY493/P493)</f>
        <v>1</v>
      </c>
      <c r="BS493" s="19">
        <f>IF(OR(B493="",F493=""),"*",BA493/Q493)</f>
        <v>0</v>
      </c>
      <c r="BT493" s="225" t="str">
        <f t="shared" si="53"/>
        <v/>
      </c>
    </row>
    <row r="494" spans="1:72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1639</v>
      </c>
      <c r="BK494" s="17" t="s">
        <v>1639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1639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1640</v>
      </c>
      <c r="BK495" s="17" t="s">
        <v>1640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1640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1641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1642</v>
      </c>
      <c r="BK496" s="17" t="s">
        <v>1643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1643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1644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1644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1645</v>
      </c>
      <c r="BK498" s="17" t="s">
        <v>1645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1645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t="23.25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1646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1647</v>
      </c>
      <c r="BK500" s="17" t="s">
        <v>1647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1648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1649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1650</v>
      </c>
      <c r="BK501" s="17" t="s">
        <v>1650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1650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1651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1652</v>
      </c>
      <c r="BK502" s="17" t="s">
        <v>1652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1652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1653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1652</v>
      </c>
      <c r="BK503" s="17" t="s">
        <v>1652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1652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1654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1647</v>
      </c>
      <c r="BK504" s="17" t="s">
        <v>1647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1647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1655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1652</v>
      </c>
      <c r="BK505" s="17" t="s">
        <v>1652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1652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1656</v>
      </c>
      <c r="BK507" s="17" t="s">
        <v>1656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1656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1657</v>
      </c>
      <c r="BK508" s="17" t="s">
        <v>1656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1656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0.56597222222222221</v>
      </c>
      <c r="AT509" s="237">
        <v>0.64930555555555558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/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1</v>
      </c>
      <c r="BI509" s="17"/>
      <c r="BJ509" s="277" t="s">
        <v>1658</v>
      </c>
      <c r="BK509" s="17" t="s">
        <v>1659</v>
      </c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Produção</v>
      </c>
      <c r="BR509" s="19">
        <f>IF(OR(B509="",F509=""),"*",AY509/P509)</f>
        <v>1.3333333333333339</v>
      </c>
      <c r="BS509" s="19">
        <f>IF(OR(B509="",F509=""),"*",BA509/Q509)</f>
        <v>0</v>
      </c>
      <c r="BT509" s="225" t="str">
        <f t="shared" si="53"/>
        <v/>
      </c>
    </row>
    <row r="510" spans="1:72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1660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1661</v>
      </c>
      <c r="BK510" s="17" t="s">
        <v>1662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1662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1663</v>
      </c>
      <c r="N512" s="204" t="s">
        <v>1664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1665</v>
      </c>
      <c r="W512" s="173" t="s">
        <v>1666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1667</v>
      </c>
      <c r="BK512" s="17" t="s">
        <v>1667</v>
      </c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</v>
      </c>
      <c r="BT512" s="225" t="str">
        <f t="shared" si="53"/>
        <v/>
      </c>
    </row>
    <row r="513" spans="1:72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1668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1669</v>
      </c>
      <c r="BK513" s="17" t="s">
        <v>1670</v>
      </c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</v>
      </c>
      <c r="BR513" s="19">
        <f>IF(OR(B513="",F513=""),"*",AY513/P513)</f>
        <v>1</v>
      </c>
      <c r="BS513" s="19">
        <f>IF(OR(B513="",F513=""),"*",BA513/Q513)</f>
        <v>0</v>
      </c>
      <c r="BT513" s="225" t="str">
        <f t="shared" si="53"/>
        <v/>
      </c>
    </row>
    <row r="514" spans="1:72" ht="23.25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1671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>
        <v>0</v>
      </c>
      <c r="AS514" s="237">
        <v>0</v>
      </c>
      <c r="AT514" s="237">
        <v>0</v>
      </c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7" t="s">
        <v>994</v>
      </c>
      <c r="BK514" s="17" t="s">
        <v>1461</v>
      </c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1672</v>
      </c>
      <c r="W515" s="173" t="s">
        <v>1673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1674</v>
      </c>
      <c r="BK515" s="17" t="s">
        <v>1674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1674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1675</v>
      </c>
      <c r="BK516" s="17" t="s">
        <v>1675</v>
      </c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</v>
      </c>
      <c r="BR516" s="19">
        <f>IF(OR(B516="",F516=""),"*",AY516/P516)</f>
        <v>1</v>
      </c>
      <c r="BS516" s="19">
        <f>IF(OR(B516="",F516=""),"*",BA516/Q516)</f>
        <v>0</v>
      </c>
      <c r="BT516" s="225" t="str">
        <f t="shared" si="53"/>
        <v/>
      </c>
    </row>
    <row r="517" spans="1:72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1676</v>
      </c>
      <c r="BK517" s="17" t="s">
        <v>1676</v>
      </c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</v>
      </c>
      <c r="BR517" s="19">
        <f>IF(OR(B517="",F517=""),"*",AY517/P517)</f>
        <v>1</v>
      </c>
      <c r="BS517" s="19">
        <f>IF(OR(B517="",F517=""),"*",BA517/Q517)</f>
        <v>0</v>
      </c>
      <c r="BT517" s="225" t="str">
        <f t="shared" si="53"/>
        <v/>
      </c>
    </row>
    <row r="518" spans="1:72" ht="23.25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1677</v>
      </c>
      <c r="BK518" s="277" t="s">
        <v>1677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1677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t="23.25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52" t="s">
        <v>667</v>
      </c>
      <c r="Y522" s="231"/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/>
      <c r="AS522" s="274"/>
      <c r="AT522" s="274"/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0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/>
      <c r="BI522" s="189"/>
      <c r="BJ522" s="278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Produção e Intervalo</v>
      </c>
      <c r="BR522" s="19">
        <f>IF(OR(B522="",F522=""),"*",AY522/P522)</f>
        <v>0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>ROGÉRIO (TP-730)46014</v>
      </c>
      <c r="B523" s="168">
        <v>46014</v>
      </c>
      <c r="C523" s="8"/>
      <c r="D523" s="52" t="s">
        <v>639</v>
      </c>
      <c r="E523" s="286">
        <v>518</v>
      </c>
      <c r="F523" s="172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9" t="s">
        <v>925</v>
      </c>
      <c r="W523" s="173" t="s">
        <v>1130</v>
      </c>
      <c r="X523" s="52" t="s">
        <v>667</v>
      </c>
      <c r="Y523" s="158"/>
      <c r="Z523" s="158"/>
      <c r="AA523" s="144" t="s">
        <v>317</v>
      </c>
      <c r="AB523" s="71" t="s">
        <v>317</v>
      </c>
      <c r="AC523" s="71"/>
      <c r="AD523" s="173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ZVK-ZDS</v>
      </c>
      <c r="AN523" s="273" t="str">
        <f>IF(BS_CONTROLE[[#This Row],[SB]]=0, "-", BS_CONTROLE[[#This Row],[SB]])</f>
        <v>ZVK2351</v>
      </c>
      <c r="AO523" s="254">
        <f>IF(BS_CONTROLE[[#This Row],[SUB]]=0, "-", BS_CONTROLE[[#This Row],[SUB]])</f>
        <v>49</v>
      </c>
      <c r="AP523" s="255">
        <f>IF(BS_CONTROLE[[#This Row],[KM - Inicio]]=0, "-", BS_CONTROLE[[#This Row],[KM - Inicio]])</f>
        <v>232.9</v>
      </c>
      <c r="AQ523" s="255" t="str">
        <f>IF(BS_CONTROLE[[#This Row],[KM - Fim]]=0, "-", BS_CONTROLE[[#This Row],[KM - Fim]])</f>
        <v>-</v>
      </c>
      <c r="AR523" s="237"/>
      <c r="AS523" s="237"/>
      <c r="AT523" s="237"/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/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6" t="str">
        <f>IF(BS_CONTROLE[[#This Row],[Responsavel pelo boletim]]=0, "-", BS_CONTROLE[[#This Row],[Responsavel pelo boletim]])</f>
        <v>Jonas</v>
      </c>
      <c r="BG523" s="16"/>
      <c r="BH523" s="17"/>
      <c r="BI523" s="17"/>
      <c r="BJ523" s="277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5"/>
    </row>
    <row r="524" spans="1:72">
      <c r="A524" s="167" t="str">
        <f t="shared" si="54"/>
        <v>W5946014</v>
      </c>
      <c r="B524" s="168">
        <v>46014</v>
      </c>
      <c r="C524" s="8"/>
      <c r="D524" s="52" t="s">
        <v>541</v>
      </c>
      <c r="E524" s="286">
        <v>443</v>
      </c>
      <c r="F524" s="172" t="s">
        <v>479</v>
      </c>
      <c r="G524" s="159" t="str">
        <f>IF(D524="","*",VLOOKUP(F524,BS_ATIVIDADE[#All],3,FALSE))</f>
        <v>DORMENTE - DESCARGA</v>
      </c>
      <c r="H524" s="173" t="s">
        <v>102</v>
      </c>
      <c r="I524" s="173" t="s">
        <v>102</v>
      </c>
      <c r="J524" s="38">
        <v>49</v>
      </c>
      <c r="K524" s="38">
        <v>232.9</v>
      </c>
      <c r="L524" s="84">
        <v>213</v>
      </c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1" t="str">
        <f>IFERROR(_xlfn.XLOOKUP(J524, BASE_MAPA!$D$2:$D$260, BASE_MAPA!$I$2:$I$260), "ERRO")</f>
        <v>ZKE-ZGA</v>
      </c>
      <c r="V524" s="269" t="s">
        <v>925</v>
      </c>
      <c r="W524" s="173" t="s">
        <v>1678</v>
      </c>
      <c r="X524" s="52" t="s">
        <v>667</v>
      </c>
      <c r="Y524" s="158"/>
      <c r="Z524" s="158"/>
      <c r="AA524" s="217">
        <v>1</v>
      </c>
      <c r="AB524" s="71" t="s">
        <v>669</v>
      </c>
      <c r="AC524" s="71" t="s">
        <v>665</v>
      </c>
      <c r="AD524" s="308">
        <v>0.33333333333333331</v>
      </c>
      <c r="AE524" s="217">
        <v>9347</v>
      </c>
      <c r="AF524" s="217" t="s">
        <v>317</v>
      </c>
      <c r="AG524" s="217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3" t="str">
        <f>IF(BS_CONTROLE[[#This Row],[Local - Partida]]=0, "-", BS_CONTROLE[[#This Row],[Local - Partida]])</f>
        <v>ZYU1</v>
      </c>
      <c r="AL524" s="273" t="str">
        <f>IF(BS_CONTROLE[[#This Row],[Local - Encerramento]]=0, "-", BS_CONTROLE[[#This Row],[Local - Encerramento]])</f>
        <v>ZYU1</v>
      </c>
      <c r="AM524" s="273" t="str">
        <f>IF(BS_CONTROLE[[#This Row],[Entre - Estações]]=0, "-", BS_CONTROLE[[#This Row],[Entre - Estações]])</f>
        <v>ZVK-ZDS</v>
      </c>
      <c r="AN524" s="273" t="str">
        <f>IF(BS_CONTROLE[[#This Row],[SB]]=0, "-", BS_CONTROLE[[#This Row],[SB]])</f>
        <v>ZVK2351</v>
      </c>
      <c r="AO524" s="254">
        <f>IF(BS_CONTROLE[[#This Row],[SUB]]=0, "-", BS_CONTROLE[[#This Row],[SUB]])</f>
        <v>49</v>
      </c>
      <c r="AP524" s="255">
        <f>IF(BS_CONTROLE[[#This Row],[KM - Inicio]]=0, "-", BS_CONTROLE[[#This Row],[KM - Inicio]])</f>
        <v>232.9</v>
      </c>
      <c r="AQ524" s="255">
        <f>IF(BS_CONTROLE[[#This Row],[KM - Fim]]=0, "-", BS_CONTROLE[[#This Row],[KM - Fim]])</f>
        <v>213</v>
      </c>
      <c r="AR524" s="274"/>
      <c r="AS524" s="274"/>
      <c r="AT524" s="274"/>
      <c r="AU524" s="237"/>
      <c r="AV524" s="237"/>
      <c r="AW524" s="237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3" t="str">
        <f>IFERROR(_xlfn.XLOOKUP(AO524, BASE_MAPA!$D$2:$D$260, BASE_MAPA!$I$2:$I$260), "ERRO")</f>
        <v>ZKE-ZGA</v>
      </c>
      <c r="BF524" s="256" t="str">
        <f>IF(BS_CONTROLE[[#This Row],[Responsavel pelo boletim]]=0, "-", BS_CONTROLE[[#This Row],[Responsavel pelo boletim]])</f>
        <v>Jonas</v>
      </c>
      <c r="BG524" s="16"/>
      <c r="BH524" s="17"/>
      <c r="BI524" s="17"/>
      <c r="BJ524" s="277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7" t="str">
        <f t="shared" si="54"/>
        <v>ROBSON (TF-701)46014</v>
      </c>
      <c r="B525" s="168">
        <v>46014</v>
      </c>
      <c r="C525" s="8"/>
      <c r="D525" s="52" t="s">
        <v>637</v>
      </c>
      <c r="E525" s="286">
        <v>519</v>
      </c>
      <c r="F525" s="172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1" t="str">
        <f>IFERROR(_xlfn.XLOOKUP(J525, BASE_MAPA!$D$2:$D$260, BASE_MAPA!$I$2:$I$260), "ERRO")</f>
        <v>ZKE-ZGA</v>
      </c>
      <c r="V525" s="269" t="s">
        <v>925</v>
      </c>
      <c r="W525" s="256" t="s">
        <v>936</v>
      </c>
      <c r="X525" s="52" t="s">
        <v>667</v>
      </c>
      <c r="Y525" s="158"/>
      <c r="Z525" s="158"/>
      <c r="AA525" s="144" t="s">
        <v>317</v>
      </c>
      <c r="AB525" s="71" t="s">
        <v>317</v>
      </c>
      <c r="AC525" s="71" t="s">
        <v>317</v>
      </c>
      <c r="AD525" s="173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ZYU</v>
      </c>
      <c r="AN525" s="273" t="str">
        <f>IF(BS_CONTROLE[[#This Row],[SB]]=0, "-", BS_CONTROLE[[#This Row],[SB]])</f>
        <v>ZYU1</v>
      </c>
      <c r="AO525" s="254">
        <f>IF(BS_CONTROLE[[#This Row],[SUB]]=0, "-", BS_CONTROLE[[#This Row],[SUB]])</f>
        <v>49</v>
      </c>
      <c r="AP525" s="255">
        <f>IF(BS_CONTROLE[[#This Row],[KM - Inicio]]=0, "-", BS_CONTROLE[[#This Row],[KM - Inicio]])</f>
        <v>202.4</v>
      </c>
      <c r="AQ525" s="255" t="str">
        <f>IF(BS_CONTROLE[[#This Row],[KM - Fim]]=0, "-", BS_CONTROLE[[#This Row],[KM - Fim]])</f>
        <v>-</v>
      </c>
      <c r="AR525" s="274"/>
      <c r="AS525" s="274"/>
      <c r="AT525" s="274"/>
      <c r="AU525" s="237"/>
      <c r="AV525" s="237"/>
      <c r="AW525" s="237"/>
      <c r="AX525" s="39"/>
      <c r="AY525" s="12">
        <f>IF(D525="","*",IFERROR(IF(ISODD(COUNT(AS525:AX525)),"ERRO",SUM((AT525-AS525),(AV525-AU525),(AX525-AW525))),"ERRO"))</f>
        <v>0</v>
      </c>
      <c r="AZ525" s="14"/>
      <c r="BA525" s="72"/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3" t="str">
        <f>IFERROR(_xlfn.XLOOKUP(AO525, BASE_MAPA!$D$2:$D$260, BASE_MAPA!$I$2:$I$260), "ERRO")</f>
        <v>ZKE-ZGA</v>
      </c>
      <c r="BF525" s="256" t="str">
        <f>IF(BS_CONTROLE[[#This Row],[Responsavel pelo boletim]]=0, "-", BS_CONTROLE[[#This Row],[Responsavel pelo boletim]])</f>
        <v>Jonas</v>
      </c>
      <c r="BG525" s="16"/>
      <c r="BH525" s="17"/>
      <c r="BI525" s="17"/>
      <c r="BJ525" s="277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7" t="str">
        <f t="shared" si="54"/>
        <v>JOSÉ  (TF-521)46014</v>
      </c>
      <c r="B526" s="168">
        <v>46014</v>
      </c>
      <c r="C526" s="8"/>
      <c r="D526" s="52" t="s">
        <v>610</v>
      </c>
      <c r="E526" s="286">
        <v>363</v>
      </c>
      <c r="F526" s="172" t="s">
        <v>502</v>
      </c>
      <c r="G526" s="159" t="str">
        <f>IF(D526="","*",VLOOKUP(F526,BS_ATIVIDADE[#All],3,FALSE))</f>
        <v>DORMENTE - SUBSTITUIÇÂO</v>
      </c>
      <c r="H526" s="204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3" t="s">
        <v>317</v>
      </c>
      <c r="J526" s="217">
        <v>56</v>
      </c>
      <c r="K526" s="217">
        <v>168</v>
      </c>
      <c r="L526" s="84" t="s">
        <v>317</v>
      </c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3">
        <v>0.41666666666666669</v>
      </c>
      <c r="P526" s="173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1" t="str">
        <f>IFERROR(_xlfn.XLOOKUP(J526, BASE_MAPA!$D$2:$D$260, BASE_MAPA!$I$2:$I$260), "ERRO")</f>
        <v>ZGA</v>
      </c>
      <c r="V526" s="269" t="s">
        <v>925</v>
      </c>
      <c r="W526" s="256" t="s">
        <v>936</v>
      </c>
      <c r="X526" s="52" t="s">
        <v>667</v>
      </c>
      <c r="Y526" s="158"/>
      <c r="Z526" s="158"/>
      <c r="AA526" s="144" t="s">
        <v>317</v>
      </c>
      <c r="AB526" s="71" t="s">
        <v>317</v>
      </c>
      <c r="AC526" s="71"/>
      <c r="AD526" s="173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3" t="str">
        <f>IF(BS_CONTROLE[[#This Row],[Local - Partida]]=0, "-", BS_CONTROLE[[#This Row],[Local - Partida]])</f>
        <v>ZER169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ZER-170</v>
      </c>
      <c r="AN526" s="273" t="str">
        <f>IF(BS_CONTROLE[[#This Row],[SB]]=0, "-", BS_CONTROLE[[#This Row],[SB]])</f>
        <v>ZER169</v>
      </c>
      <c r="AO526" s="254">
        <f>IF(BS_CONTROLE[[#This Row],[SUB]]=0, "-", BS_CONTROLE[[#This Row],[SUB]])</f>
        <v>56</v>
      </c>
      <c r="AP526" s="255">
        <f>IF(BS_CONTROLE[[#This Row],[KM - Inicio]]=0, "-", BS_CONTROLE[[#This Row],[KM - Inicio]])</f>
        <v>168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>
        <f>IF(D526="","*",IFERROR(IF(ISODD(COUNT(AS526:AX526)),"ERRO",SUM((AT526-AS526),(AV526-AU526),(AX526-AW526))),"ERRO"))</f>
        <v>0</v>
      </c>
      <c r="AZ526" s="14"/>
      <c r="BA526" s="72"/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3" t="str">
        <f>IFERROR(_xlfn.XLOOKUP(AO526, BASE_MAPA!$D$2:$D$260, BASE_MAPA!$I$2:$I$260), "ERRO")</f>
        <v>ZGA</v>
      </c>
      <c r="BF526" s="256" t="str">
        <f>IF(BS_CONTROLE[[#This Row],[Responsavel pelo boletim]]=0, "-", BS_CONTROLE[[#This Row],[Responsavel pelo boletim]])</f>
        <v>Jonas</v>
      </c>
      <c r="BG526" s="16"/>
      <c r="BH526" s="17"/>
      <c r="BI526" s="17"/>
      <c r="BJ526" s="277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7" t="str">
        <f t="shared" si="54"/>
        <v>E4246014</v>
      </c>
      <c r="B527" s="168">
        <v>46014</v>
      </c>
      <c r="C527" s="8"/>
      <c r="D527" s="52" t="s">
        <v>463</v>
      </c>
      <c r="E527" s="287">
        <v>521</v>
      </c>
      <c r="F527" s="172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1679</v>
      </c>
      <c r="J527" s="38">
        <v>55</v>
      </c>
      <c r="K527" s="38">
        <v>102</v>
      </c>
      <c r="L527" s="84">
        <v>103</v>
      </c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1" t="str">
        <f>IFERROR(_xlfn.XLOOKUP(J527, BASE_MAPA!$D$2:$D$260, BASE_MAPA!$I$2:$I$260), "ERRO")</f>
        <v>ZKE</v>
      </c>
      <c r="V527" s="269" t="s">
        <v>938</v>
      </c>
      <c r="W527" s="173" t="s">
        <v>1680</v>
      </c>
      <c r="X527" s="52" t="s">
        <v>667</v>
      </c>
      <c r="Y527" s="158"/>
      <c r="Z527" s="158"/>
      <c r="AA527" s="144">
        <v>2</v>
      </c>
      <c r="AB527" s="71" t="s">
        <v>669</v>
      </c>
      <c r="AC527" s="71" t="s">
        <v>665</v>
      </c>
      <c r="AD527" s="173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3" t="str">
        <f>IF(BS_CONTROLE[[#This Row],[Local - Partida]]=0, "-", BS_CONTROLE[[#This Row],[Local - Partida]])</f>
        <v>102ZKW2</v>
      </c>
      <c r="AL527" s="273" t="str">
        <f>IF(BS_CONTROLE[[#This Row],[Local - Encerramento]]=0, "-", BS_CONTROLE[[#This Row],[Local - Encerramento]])</f>
        <v>102ZKW</v>
      </c>
      <c r="AM527" s="273" t="str">
        <f>IF(BS_CONTROLE[[#This Row],[Entre - Estações]]=0, "-", BS_CONTROLE[[#This Row],[Entre - Estações]])</f>
        <v>ZKW</v>
      </c>
      <c r="AN527" s="273" t="str">
        <f>IF(BS_CONTROLE[[#This Row],[SB]]=0, "-", BS_CONTROLE[[#This Row],[SB]])</f>
        <v>102ZKW2</v>
      </c>
      <c r="AO527" s="254">
        <f>IF(BS_CONTROLE[[#This Row],[SUB]]=0, "-", BS_CONTROLE[[#This Row],[SUB]])</f>
        <v>55</v>
      </c>
      <c r="AP527" s="255">
        <f>IF(BS_CONTROLE[[#This Row],[KM - Inicio]]=0, "-", BS_CONTROLE[[#This Row],[KM - Inicio]])</f>
        <v>102</v>
      </c>
      <c r="AQ527" s="255">
        <f>IF(BS_CONTROLE[[#This Row],[KM - Fim]]=0, "-", BS_CONTROLE[[#This Row],[KM - Fim]])</f>
        <v>103</v>
      </c>
      <c r="AR527" s="274"/>
      <c r="AS527" s="274"/>
      <c r="AT527" s="274"/>
      <c r="AU527" s="237"/>
      <c r="AV527" s="237"/>
      <c r="AW527" s="237"/>
      <c r="AX527" s="39"/>
      <c r="AY527" s="12">
        <f>IF(D527="","*",IFERROR(IF(ISODD(COUNT(AS527:AX527)),"ERRO",SUM((AT527-AS527),(AV527-AU527),(AX527-AW527))),"ERRO"))</f>
        <v>0</v>
      </c>
      <c r="AZ527" s="14"/>
      <c r="BA527" s="72"/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3" t="str">
        <f>IFERROR(_xlfn.XLOOKUP(AO527, BASE_MAPA!$D$2:$D$260, BASE_MAPA!$I$2:$I$260), "ERRO")</f>
        <v>ZKE</v>
      </c>
      <c r="BF527" s="256" t="str">
        <f>IF(BS_CONTROLE[[#This Row],[Responsavel pelo boletim]]=0, "-", BS_CONTROLE[[#This Row],[Responsavel pelo boletim]])</f>
        <v>Felipe</v>
      </c>
      <c r="BG527" s="16"/>
      <c r="BH527" s="17"/>
      <c r="BI527" s="17"/>
      <c r="BJ527" s="277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>
      <c r="A528" s="167" t="str">
        <f t="shared" si="54"/>
        <v>V8946014</v>
      </c>
      <c r="B528" s="168">
        <v>46014</v>
      </c>
      <c r="C528" s="8"/>
      <c r="D528" s="52" t="s">
        <v>522</v>
      </c>
      <c r="E528" s="286">
        <v>522</v>
      </c>
      <c r="F528" s="172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38">
        <v>135.19999999999999</v>
      </c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1" t="str">
        <f>IFERROR(_xlfn.XLOOKUP(J528, BASE_MAPA!$D$2:$D$260, BASE_MAPA!$I$2:$I$260), "ERRO")</f>
        <v>ZKE</v>
      </c>
      <c r="V528" s="269" t="s">
        <v>1681</v>
      </c>
      <c r="W528" s="256" t="s">
        <v>1098</v>
      </c>
      <c r="X528" s="52" t="s">
        <v>667</v>
      </c>
      <c r="Y528" s="158"/>
      <c r="Z528" s="158"/>
      <c r="AA528" s="217">
        <v>1</v>
      </c>
      <c r="AB528" s="71" t="s">
        <v>659</v>
      </c>
      <c r="AC528" s="71" t="s">
        <v>654</v>
      </c>
      <c r="AD528" s="308">
        <v>0.33333333333333331</v>
      </c>
      <c r="AE528" s="217">
        <v>6809</v>
      </c>
      <c r="AF528" s="217">
        <v>6239</v>
      </c>
      <c r="AG528" s="217" t="s">
        <v>317</v>
      </c>
      <c r="AH528" s="49"/>
      <c r="AI528" s="142" t="str">
        <f>IF(BS_CONTROLE[[#This Row],[Atividade]]=0, "-", BS_CONTROLE[[#This Row],[Atividade]])</f>
        <v>MECANIZAÇÃO - SOCADORA</v>
      </c>
      <c r="AJ528" s="9" t="str">
        <f>IF(D528="","*",VLOOKUP(AI528,BS_ATIVIDADE[#Data],3,FALSE))</f>
        <v>MECANIZAÇÃO - SOCADORA</v>
      </c>
      <c r="AK528" s="273" t="str">
        <f>IF(BS_CONTROLE[[#This Row],[Local - Partida]]=0, "-", BS_CONTROLE[[#This Row],[Local - Partida]])</f>
        <v>ZEM1302</v>
      </c>
      <c r="AL528" s="273" t="str">
        <f>IF(BS_CONTROLE[[#This Row],[Local - Encerramento]]=0, "-", BS_CONTROLE[[#This Row],[Local - Encerramento]])</f>
        <v>ZEM1302</v>
      </c>
      <c r="AM528" s="273" t="str">
        <f>IF(BS_CONTROLE[[#This Row],[Entre - Estações]]=0, "-", BS_CONTROLE[[#This Row],[Entre - Estações]])</f>
        <v>ZYQ-ZEM</v>
      </c>
      <c r="AN528" s="273" t="str">
        <f>IF(BS_CONTROLE[[#This Row],[SB]]=0, "-", BS_CONTROLE[[#This Row],[SB]])</f>
        <v>ZEM2</v>
      </c>
      <c r="AO528" s="254">
        <f>IF(BS_CONTROLE[[#This Row],[SUB]]=0, "-", BS_CONTROLE[[#This Row],[SUB]])</f>
        <v>55</v>
      </c>
      <c r="AP528" s="255">
        <f>IF(BS_CONTROLE[[#This Row],[KM - Inicio]]=0, "-", BS_CONTROLE[[#This Row],[KM - Inicio]])</f>
        <v>134.4</v>
      </c>
      <c r="AQ528" s="255">
        <f>IF(BS_CONTROLE[[#This Row],[KM - Fim]]=0, "-", BS_CONTROLE[[#This Row],[KM - Fim]])</f>
        <v>135.19999999999999</v>
      </c>
      <c r="AR528" s="274"/>
      <c r="AS528" s="274"/>
      <c r="AT528" s="274"/>
      <c r="AU528" s="237"/>
      <c r="AV528" s="237"/>
      <c r="AW528" s="237"/>
      <c r="AX528" s="39"/>
      <c r="AY528" s="12">
        <f>IF(D528="","*",IFERROR(IF(ISODD(COUNT(AS528:AX528)),"ERRO",SUM((AT528-AS528),(AV528-AU528),(AX528-AW528))),"ERRO"))</f>
        <v>0</v>
      </c>
      <c r="AZ528" s="14"/>
      <c r="BA528" s="72"/>
      <c r="BB528" s="10" t="str">
        <f>IFERROR(_xlfn.XLOOKUP(AI528, BS_ATIVIDADE[ATIVIDADE],BS_ATIVIDADE[UNIDADE] ), "*")</f>
        <v>M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3" t="str">
        <f>IFERROR(_xlfn.XLOOKUP(AO528, BASE_MAPA!$D$2:$D$260, BASE_MAPA!$I$2:$I$260), "ERRO")</f>
        <v>ZKE</v>
      </c>
      <c r="BF528" s="256" t="str">
        <f>IF(BS_CONTROLE[[#This Row],[Responsavel pelo boletim]]=0, "-", BS_CONTROLE[[#This Row],[Responsavel pelo boletim]])</f>
        <v>Antonioni</v>
      </c>
      <c r="BG528" s="16"/>
      <c r="BH528" s="17"/>
      <c r="BI528" s="17"/>
      <c r="BJ528" s="277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</v>
      </c>
      <c r="BS528" s="19">
        <f>IF(OR(B528="",F528=""),"*",BA528/Q528)</f>
        <v>0</v>
      </c>
    </row>
    <row r="529" spans="1:71">
      <c r="A529" s="167" t="str">
        <f t="shared" si="54"/>
        <v>DIEGO (TP-681)46014</v>
      </c>
      <c r="B529" s="168">
        <v>46014</v>
      </c>
      <c r="C529" s="8"/>
      <c r="D529" s="52" t="s">
        <v>584</v>
      </c>
      <c r="E529" s="286">
        <v>523</v>
      </c>
      <c r="F529" s="172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1" t="str">
        <f>IFERROR(_xlfn.XLOOKUP(J529, BASE_MAPA!$D$2:$D$260, BASE_MAPA!$I$2:$I$260), "ERRO")</f>
        <v>ZKE</v>
      </c>
      <c r="V529" s="269" t="s">
        <v>938</v>
      </c>
      <c r="W529" s="256" t="s">
        <v>936</v>
      </c>
      <c r="X529" s="52" t="s">
        <v>667</v>
      </c>
      <c r="Y529" s="158"/>
      <c r="Z529" s="158"/>
      <c r="AA529" s="144" t="s">
        <v>317</v>
      </c>
      <c r="AB529" s="71" t="s">
        <v>317</v>
      </c>
      <c r="AC529" s="71"/>
      <c r="AD529" s="173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ZEM-ZEJ</v>
      </c>
      <c r="AN529" s="273" t="str">
        <f>IF(BS_CONTROLE[[#This Row],[SB]]=0, "-", BS_CONTROLE[[#This Row],[SB]])</f>
        <v>144ZMS2</v>
      </c>
      <c r="AO529" s="254">
        <f>IF(BS_CONTROLE[[#This Row],[SUB]]=0, "-", BS_CONTROLE[[#This Row],[SUB]])</f>
        <v>55</v>
      </c>
      <c r="AP529" s="255">
        <f>IF(BS_CONTROLE[[#This Row],[KM - Inicio]]=0, "-", BS_CONTROLE[[#This Row],[KM - Inicio]])</f>
        <v>143</v>
      </c>
      <c r="AQ529" s="255" t="str">
        <f>IF(BS_CONTROLE[[#This Row],[KM - Fim]]=0, "-", BS_CONTROLE[[#This Row],[KM - Fim]])</f>
        <v>-</v>
      </c>
      <c r="AR529" s="274"/>
      <c r="AS529" s="274"/>
      <c r="AT529" s="274"/>
      <c r="AU529" s="237"/>
      <c r="AV529" s="237"/>
      <c r="AW529" s="237"/>
      <c r="AX529" s="39"/>
      <c r="AY529" s="12">
        <f>IF(D529="","*",IFERROR(IF(ISODD(COUNT(AS529:AX529)),"ERRO",SUM((AT529-AS529),(AV529-AU529),(AX529-AW529))),"ERRO"))</f>
        <v>0</v>
      </c>
      <c r="AZ529" s="14"/>
      <c r="BA529" s="72"/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3" t="str">
        <f>IFERROR(_xlfn.XLOOKUP(AO529, BASE_MAPA!$D$2:$D$260, BASE_MAPA!$I$2:$I$260), "ERRO")</f>
        <v>ZKE</v>
      </c>
      <c r="BF529" s="256" t="str">
        <f>IF(BS_CONTROLE[[#This Row],[Responsavel pelo boletim]]=0, "-", BS_CONTROLE[[#This Row],[Responsavel pelo boletim]])</f>
        <v>Felipe</v>
      </c>
      <c r="BG529" s="16"/>
      <c r="BH529" s="17"/>
      <c r="BI529" s="17"/>
      <c r="BJ529" s="277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7" t="str">
        <f t="shared" si="54"/>
        <v>W6046014</v>
      </c>
      <c r="B530" s="168">
        <v>46014</v>
      </c>
      <c r="C530" s="8"/>
      <c r="D530" s="52" t="s">
        <v>542</v>
      </c>
      <c r="E530" s="286">
        <v>504</v>
      </c>
      <c r="F530" s="172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1" t="str">
        <f>IFERROR(_xlfn.XLOOKUP(J530, BASE_MAPA!$D$2:$D$260, BASE_MAPA!$I$2:$I$260), "ERRO")</f>
        <v>ZKE</v>
      </c>
      <c r="V530" s="269" t="s">
        <v>938</v>
      </c>
      <c r="W530" s="173" t="s">
        <v>1660</v>
      </c>
      <c r="X530" s="52" t="s">
        <v>667</v>
      </c>
      <c r="Y530" s="158"/>
      <c r="Z530" s="158"/>
      <c r="AA530" s="84" t="s">
        <v>1448</v>
      </c>
      <c r="AB530" s="71" t="s">
        <v>659</v>
      </c>
      <c r="AC530" s="71" t="s">
        <v>654</v>
      </c>
      <c r="AD530" s="173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3" t="str">
        <f>IF(BS_CONTROLE[[#This Row],[Local - Partida]]=0, "-", BS_CONTROLE[[#This Row],[Local - Partida]])</f>
        <v>ZEM1302</v>
      </c>
      <c r="AL530" s="273" t="str">
        <f>IF(BS_CONTROLE[[#This Row],[Local - Encerramento]]=0, "-", BS_CONTROLE[[#This Row],[Local - Encerramento]])</f>
        <v>ZEM1302</v>
      </c>
      <c r="AM530" s="273" t="str">
        <f>IF(BS_CONTROLE[[#This Row],[Entre - Estações]]=0, "-", BS_CONTROLE[[#This Row],[Entre - Estações]])</f>
        <v>ZEJ-ZEV</v>
      </c>
      <c r="AN530" s="273" t="str">
        <f>IF(BS_CONTROLE[[#This Row],[SB]]=0, "-", BS_CONTROLE[[#This Row],[SB]])</f>
        <v>ZRB1502</v>
      </c>
      <c r="AO530" s="254">
        <f>IF(BS_CONTROLE[[#This Row],[SUB]]=0, "-", BS_CONTROLE[[#This Row],[SUB]])</f>
        <v>55</v>
      </c>
      <c r="AP530" s="255">
        <f>IF(BS_CONTROLE[[#This Row],[KM - Inicio]]=0, "-", BS_CONTROLE[[#This Row],[KM - Inicio]])</f>
        <v>151.6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>
        <f>IF(D530="","*",IFERROR(IF(ISODD(COUNT(AS530:AX530)),"ERRO",SUM((AT530-AS530),(AV530-AU530),(AX530-AW530))),"ERRO"))</f>
        <v>0</v>
      </c>
      <c r="AZ530" s="14"/>
      <c r="BA530" s="72"/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3" t="str">
        <f>IFERROR(_xlfn.XLOOKUP(AO530, BASE_MAPA!$D$2:$D$260, BASE_MAPA!$I$2:$I$260), "ERRO")</f>
        <v>ZKE</v>
      </c>
      <c r="BF530" s="256" t="str">
        <f>IF(BS_CONTROLE[[#This Row],[Responsavel pelo boletim]]=0, "-", BS_CONTROLE[[#This Row],[Responsavel pelo boletim]])</f>
        <v>Felipe</v>
      </c>
      <c r="BG530" s="16"/>
      <c r="BH530" s="17"/>
      <c r="BI530" s="17"/>
      <c r="BJ530" s="277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4"/>
        <v/>
      </c>
      <c r="B532" s="168"/>
      <c r="C532" s="8"/>
      <c r="D532" s="52"/>
      <c r="E532" s="286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69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3" t="str">
        <f>IF(BS_CONTROLE[[#This Row],[Local - Partida]]=0, "-", BS_CONTROLE[[#This Row],[Local - Partida]])</f>
        <v>-</v>
      </c>
      <c r="AL532" s="273" t="str">
        <f>IF(BS_CONTROLE[[#This Row],[Local - Encerramento]]=0, "-", BS_CONTROLE[[#This Row],[Local - Encerramento]])</f>
        <v>-</v>
      </c>
      <c r="AM532" s="273" t="str">
        <f>IF(BS_CONTROLE[[#This Row],[Entre - Estações]]=0, "-", BS_CONTROLE[[#This Row],[Entre - Estações]])</f>
        <v>-</v>
      </c>
      <c r="AN532" s="273" t="str">
        <f>IF(BS_CONTROLE[[#This Row],[SB]]=0, "-", BS_CONTROLE[[#This Row],[SB]])</f>
        <v>-</v>
      </c>
      <c r="AO532" s="254" t="str">
        <f>IF(BS_CONTROLE[[#This Row],[SUB]]=0, "-", BS_CONTROLE[[#This Row],[SUB]])</f>
        <v>-</v>
      </c>
      <c r="AP532" s="255" t="str">
        <f>IF(BS_CONTROLE[[#This Row],[KM - Inicio]]=0, "-", BS_CONTROLE[[#This Row],[KM - Inicio]])</f>
        <v>-</v>
      </c>
      <c r="AQ532" s="255" t="str">
        <f>IF(BS_CONTROLE[[#This Row],[KM - Fim]]=0, "-", BS_CONTROLE[[#This Row],[KM - Fim]])</f>
        <v>-</v>
      </c>
      <c r="AR532" s="274"/>
      <c r="AS532" s="274"/>
      <c r="AT532" s="274"/>
      <c r="AU532" s="237"/>
      <c r="AV532" s="237"/>
      <c r="AW532" s="237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56" t="str">
        <f>IF(BS_CONTROLE[[#This Row],[Responsavel pelo boletim]]=0, "-", BS_CONTROLE[[#This Row],[Responsavel pelo boletim]])</f>
        <v>-</v>
      </c>
      <c r="BG532" s="16"/>
      <c r="BH532" s="17"/>
      <c r="BI532" s="17"/>
      <c r="BJ532" s="277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>DANILO (TP-837)46014</v>
      </c>
      <c r="B533" s="168">
        <v>46014</v>
      </c>
      <c r="C533" s="8"/>
      <c r="D533" s="52" t="s">
        <v>580</v>
      </c>
      <c r="E533" s="286">
        <v>527</v>
      </c>
      <c r="F533" s="172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1" t="str">
        <f>IFERROR(_xlfn.XLOOKUP(J533, BASE_MAPA!$D$2:$D$260, BASE_MAPA!$I$2:$I$260), "ERRO")</f>
        <v>ZKE</v>
      </c>
      <c r="V533" s="269" t="s">
        <v>1452</v>
      </c>
      <c r="W533" s="173" t="s">
        <v>1112</v>
      </c>
      <c r="X533" s="52" t="s">
        <v>667</v>
      </c>
      <c r="Y533" s="158"/>
      <c r="Z533" s="158"/>
      <c r="AA533" s="144" t="s">
        <v>317</v>
      </c>
      <c r="AB533" s="71" t="s">
        <v>317</v>
      </c>
      <c r="AC533" s="71" t="s">
        <v>317</v>
      </c>
      <c r="AD533" s="173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ZLU-ZWI</v>
      </c>
      <c r="AN533" s="273" t="str">
        <f>IF(BS_CONTROLE[[#This Row],[SB]]=0, "-", BS_CONTROLE[[#This Row],[SB]])</f>
        <v>ZWI2</v>
      </c>
      <c r="AO533" s="254">
        <f>IF(BS_CONTROLE[[#This Row],[SUB]]=0, "-", BS_CONTROLE[[#This Row],[SUB]])</f>
        <v>55</v>
      </c>
      <c r="AP533" s="255">
        <f>IF(BS_CONTROLE[[#This Row],[KM - Inicio]]=0, "-", BS_CONTROLE[[#This Row],[KM - Inicio]])</f>
        <v>118.61799999999999</v>
      </c>
      <c r="AQ533" s="255" t="str">
        <f>IF(BS_CONTROLE[[#This Row],[KM - Fim]]=0, "-", BS_CONTROLE[[#This Row],[KM - Fim]])</f>
        <v>-</v>
      </c>
      <c r="AR533" s="274"/>
      <c r="AS533" s="274"/>
      <c r="AT533" s="274"/>
      <c r="AU533" s="237"/>
      <c r="AV533" s="237"/>
      <c r="AW533" s="237"/>
      <c r="AX533" s="39"/>
      <c r="AY533" s="12">
        <f>IF(D533="","*",IFERROR(IF(ISODD(COUNT(AS533:AX533)),"ERRO",SUM((AT533-AS533),(AV533-AU533),(AX533-AW533))),"ERRO"))</f>
        <v>0</v>
      </c>
      <c r="AZ533" s="14"/>
      <c r="BA533" s="72"/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3" t="str">
        <f>IFERROR(_xlfn.XLOOKUP(AO533, BASE_MAPA!$D$2:$D$260, BASE_MAPA!$I$2:$I$260), "ERRO")</f>
        <v>ZKE</v>
      </c>
      <c r="BF533" s="256" t="str">
        <f>IF(BS_CONTROLE[[#This Row],[Responsavel pelo boletim]]=0, "-", BS_CONTROLE[[#This Row],[Responsavel pelo boletim]])</f>
        <v>Alisson</v>
      </c>
      <c r="BG533" s="16"/>
      <c r="BH533" s="17"/>
      <c r="BI533" s="17"/>
      <c r="BJ533" s="277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7" t="str">
        <f t="shared" si="54"/>
        <v>WALTER (TP-810)46014</v>
      </c>
      <c r="B534" s="168">
        <v>46014</v>
      </c>
      <c r="C534" s="8"/>
      <c r="D534" s="52" t="s">
        <v>648</v>
      </c>
      <c r="E534" s="286">
        <v>528</v>
      </c>
      <c r="F534" s="172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1" t="str">
        <f>IFERROR(_xlfn.XLOOKUP(J534, BASE_MAPA!$D$2:$D$260, BASE_MAPA!$I$2:$I$260), "ERRO")</f>
        <v>ZKE</v>
      </c>
      <c r="V534" s="269" t="s">
        <v>1452</v>
      </c>
      <c r="W534" s="173" t="s">
        <v>1112</v>
      </c>
      <c r="X534" s="52" t="s">
        <v>667</v>
      </c>
      <c r="Y534" s="158"/>
      <c r="Z534" s="158"/>
      <c r="AA534" s="144" t="s">
        <v>317</v>
      </c>
      <c r="AB534" s="71" t="s">
        <v>317</v>
      </c>
      <c r="AC534" s="71"/>
      <c r="AD534" s="173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ZWI-ZYQ</v>
      </c>
      <c r="AN534" s="273" t="str">
        <f>IF(BS_CONTROLE[[#This Row],[SB]]=0, "-", BS_CONTROLE[[#This Row],[SB]])</f>
        <v>121ZWI2</v>
      </c>
      <c r="AO534" s="254">
        <f>IF(BS_CONTROLE[[#This Row],[SUB]]=0, "-", BS_CONTROLE[[#This Row],[SUB]])</f>
        <v>55</v>
      </c>
      <c r="AP534" s="255">
        <f>IF(BS_CONTROLE[[#This Row],[KM - Inicio]]=0, "-", BS_CONTROLE[[#This Row],[KM - Inicio]])</f>
        <v>120.521</v>
      </c>
      <c r="AQ534" s="255" t="str">
        <f>IF(BS_CONTROLE[[#This Row],[KM - Fim]]=0, "-", BS_CONTROLE[[#This Row],[KM - Fim]])</f>
        <v>-</v>
      </c>
      <c r="AR534" s="274"/>
      <c r="AS534" s="274"/>
      <c r="AT534" s="274"/>
      <c r="AU534" s="237"/>
      <c r="AV534" s="237"/>
      <c r="AW534" s="237"/>
      <c r="AX534" s="39"/>
      <c r="AY534" s="12">
        <f>IF(D534="","*",IFERROR(IF(ISODD(COUNT(AS534:AX534)),"ERRO",SUM((AT534-AS534),(AV534-AU534),(AX534-AW534))),"ERRO"))</f>
        <v>0</v>
      </c>
      <c r="AZ534" s="14"/>
      <c r="BA534" s="72"/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3" t="str">
        <f>IFERROR(_xlfn.XLOOKUP(AO534, BASE_MAPA!$D$2:$D$260, BASE_MAPA!$I$2:$I$260), "ERRO")</f>
        <v>ZKE</v>
      </c>
      <c r="BF534" s="256" t="str">
        <f>IF(BS_CONTROLE[[#This Row],[Responsavel pelo boletim]]=0, "-", BS_CONTROLE[[#This Row],[Responsavel pelo boletim]])</f>
        <v>Alisson</v>
      </c>
      <c r="BG534" s="16"/>
      <c r="BH534" s="17"/>
      <c r="BI534" s="17"/>
      <c r="BJ534" s="277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7" t="str">
        <f t="shared" si="54"/>
        <v>CAIQUE (TP-869)46014</v>
      </c>
      <c r="B535" s="168">
        <v>46014</v>
      </c>
      <c r="C535" s="8"/>
      <c r="D535" s="52" t="s">
        <v>573</v>
      </c>
      <c r="E535" s="286">
        <v>502</v>
      </c>
      <c r="F535" s="172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4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1" t="str">
        <f>IFERROR(_xlfn.XLOOKUP(J535, BASE_MAPA!$D$2:$D$260, BASE_MAPA!$I$2:$I$260), "ERRO")</f>
        <v>ZKE</v>
      </c>
      <c r="V535" s="269" t="s">
        <v>1452</v>
      </c>
      <c r="W535" s="173" t="s">
        <v>1112</v>
      </c>
      <c r="X535" s="52" t="s">
        <v>667</v>
      </c>
      <c r="Y535" s="158"/>
      <c r="Z535" s="158"/>
      <c r="AA535" s="144" t="s">
        <v>317</v>
      </c>
      <c r="AB535" s="71" t="s">
        <v>317</v>
      </c>
      <c r="AC535" s="71" t="s">
        <v>317</v>
      </c>
      <c r="AD535" s="173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ZWI-ZYQ</v>
      </c>
      <c r="AN535" s="273">
        <f>IF(BS_CONTROLE[[#This Row],[SB]]=0, "-", BS_CONTROLE[[#This Row],[SB]])</f>
        <v>1231212</v>
      </c>
      <c r="AO535" s="254">
        <f>IF(BS_CONTROLE[[#This Row],[SUB]]=0, "-", BS_CONTROLE[[#This Row],[SUB]])</f>
        <v>55</v>
      </c>
      <c r="AP535" s="255">
        <f>IF(BS_CONTROLE[[#This Row],[KM - Inicio]]=0, "-", BS_CONTROLE[[#This Row],[KM - Inicio]])</f>
        <v>121.70699999999999</v>
      </c>
      <c r="AQ535" s="255" t="str">
        <f>IF(BS_CONTROLE[[#This Row],[KM - Fim]]=0, "-", BS_CONTROLE[[#This Row],[KM - Fim]])</f>
        <v>-</v>
      </c>
      <c r="AR535" s="274"/>
      <c r="AS535" s="274"/>
      <c r="AT535" s="274"/>
      <c r="AU535" s="237"/>
      <c r="AV535" s="237"/>
      <c r="AW535" s="237"/>
      <c r="AX535" s="39"/>
      <c r="AY535" s="12">
        <f>IF(D535="","*",IFERROR(IF(ISODD(COUNT(AS535:AX535)),"ERRO",SUM((AT535-AS535),(AV535-AU535),(AX535-AW535))),"ERRO"))</f>
        <v>0</v>
      </c>
      <c r="AZ535" s="14"/>
      <c r="BA535" s="72"/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3" t="str">
        <f>IFERROR(_xlfn.XLOOKUP(AO535, BASE_MAPA!$D$2:$D$260, BASE_MAPA!$I$2:$I$260), "ERRO")</f>
        <v>ZKE</v>
      </c>
      <c r="BF535" s="256" t="str">
        <f>IF(BS_CONTROLE[[#This Row],[Responsavel pelo boletim]]=0, "-", BS_CONTROLE[[#This Row],[Responsavel pelo boletim]])</f>
        <v>Alisson</v>
      </c>
      <c r="BG535" s="16"/>
      <c r="BH535" s="17"/>
      <c r="BI535" s="17"/>
      <c r="BJ535" s="277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t="23.25">
      <c r="A537" s="167" t="str">
        <f t="shared" si="54"/>
        <v>V9846014</v>
      </c>
      <c r="B537" s="168">
        <v>46014</v>
      </c>
      <c r="C537" s="8"/>
      <c r="D537" s="52" t="s">
        <v>1378</v>
      </c>
      <c r="E537" s="286">
        <v>506</v>
      </c>
      <c r="F537" s="172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4" t="s">
        <v>1682</v>
      </c>
      <c r="N537" s="204" t="s">
        <v>1683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1" t="str">
        <f>IFERROR(_xlfn.XLOOKUP(J537, BASE_MAPA!$D$2:$D$260, BASE_MAPA!$I$2:$I$260), "ERRO")</f>
        <v>069-ZEV</v>
      </c>
      <c r="V537" s="269" t="s">
        <v>1665</v>
      </c>
      <c r="W537" s="173" t="s">
        <v>1666</v>
      </c>
      <c r="X537" s="52" t="s">
        <v>667</v>
      </c>
      <c r="Y537" s="158"/>
      <c r="Z537" s="158"/>
      <c r="AA537" s="144">
        <v>1</v>
      </c>
      <c r="AB537" s="71" t="s">
        <v>659</v>
      </c>
      <c r="AC537" s="71" t="s">
        <v>654</v>
      </c>
      <c r="AD537" s="173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3" t="str">
        <f>IF(BS_CONTROLE[[#This Row],[Local - Partida]]=0, "-", BS_CONTROLE[[#This Row],[Local - Partida]])</f>
        <v>ZEV2</v>
      </c>
      <c r="AL537" s="273" t="str">
        <f>IF(BS_CONTROLE[[#This Row],[Local - Encerramento]]=0, "-", BS_CONTROLE[[#This Row],[Local - Encerramento]])</f>
        <v>ZPG</v>
      </c>
      <c r="AM537" s="273" t="str">
        <f>IF(BS_CONTROLE[[#This Row],[Entre - Estações]]=0, "-", BS_CONTROLE[[#This Row],[Entre - Estações]])</f>
        <v>ZEV-ZPG</v>
      </c>
      <c r="AN537" s="273" t="str">
        <f>IF(BS_CONTROLE[[#This Row],[SB]]=0, "-", BS_CONTROLE[[#This Row],[SB]])</f>
        <v>ZEVZPG</v>
      </c>
      <c r="AO537" s="254">
        <f>IF(BS_CONTROLE[[#This Row],[SUB]]=0, "-", BS_CONTROLE[[#This Row],[SUB]])</f>
        <v>92</v>
      </c>
      <c r="AP537" s="255">
        <f>IF(BS_CONTROLE[[#This Row],[KM - Inicio]]=0, "-", BS_CONTROLE[[#This Row],[KM - Inicio]])</f>
        <v>66</v>
      </c>
      <c r="AQ537" s="255" t="str">
        <f>IF(BS_CONTROLE[[#This Row],[KM - Fim]]=0, "-", BS_CONTROLE[[#This Row],[KM - Fim]])</f>
        <v>-</v>
      </c>
      <c r="AR537" s="274"/>
      <c r="AS537" s="274"/>
      <c r="AT537" s="274"/>
      <c r="AU537" s="237"/>
      <c r="AV537" s="237"/>
      <c r="AW537" s="237"/>
      <c r="AX537" s="39"/>
      <c r="AY537" s="12">
        <f>IF(D537="","*",IFERROR(IF(ISODD(COUNT(AS537:AX537)),"ERRO",SUM((AT537-AS537),(AV537-AU537),(AX537-AW537))),"ERRO"))</f>
        <v>0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3" t="str">
        <f>IFERROR(_xlfn.XLOOKUP(AO537, BASE_MAPA!$D$2:$D$260, BASE_MAPA!$I$2:$I$260), "ERRO")</f>
        <v>069-ZEV</v>
      </c>
      <c r="BF537" s="256" t="str">
        <f>IF(BS_CONTROLE[[#This Row],[Responsavel pelo boletim]]=0, "-", BS_CONTROLE[[#This Row],[Responsavel pelo boletim]])</f>
        <v>Andresa / John</v>
      </c>
      <c r="BG537" s="16"/>
      <c r="BH537" s="17"/>
      <c r="BI537" s="17"/>
      <c r="BJ537" s="277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Produção e Intervalo</v>
      </c>
      <c r="BR537" s="19">
        <f>IF(OR(B537="",F537=""),"*",AY537/P537)</f>
        <v>0</v>
      </c>
      <c r="BS537" s="19">
        <f>IF(OR(B537="",F537=""),"*",BA537/Q537)</f>
        <v>0</v>
      </c>
    </row>
    <row r="538" spans="1:71">
      <c r="A538" s="167" t="str">
        <f t="shared" si="54"/>
        <v>W6146014</v>
      </c>
      <c r="B538" s="168">
        <v>46014</v>
      </c>
      <c r="C538" s="8"/>
      <c r="D538" s="52" t="s">
        <v>543</v>
      </c>
      <c r="E538" s="286">
        <v>532</v>
      </c>
      <c r="F538" s="172" t="s">
        <v>331</v>
      </c>
      <c r="G538" s="159" t="str">
        <f>IF(D538="","*",VLOOKUP(F538,BS_ATIVIDADE[#All],3,FALSE))</f>
        <v>OUTROS</v>
      </c>
      <c r="H538" s="173" t="s">
        <v>143</v>
      </c>
      <c r="I538" s="173" t="s">
        <v>143</v>
      </c>
      <c r="J538" s="217">
        <v>92</v>
      </c>
      <c r="K538" s="217">
        <v>83.7</v>
      </c>
      <c r="L538" s="217" t="s">
        <v>317</v>
      </c>
      <c r="M538" s="204" t="s">
        <v>962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3">
        <v>0.3125</v>
      </c>
      <c r="P538" s="173">
        <v>4.1666666666666664E-2</v>
      </c>
      <c r="Q538" s="217">
        <v>1</v>
      </c>
      <c r="R538" s="10" t="str">
        <f>IFERROR(_xlfn.XLOOKUP(F538, BS_ATIVIDADE[ATIVIDADE],BS_ATIVIDADE[UNIDADE] ), "*")</f>
        <v>BINÁRIO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1" t="str">
        <f>IFERROR(_xlfn.XLOOKUP(J538, BASE_MAPA!$D$2:$D$260, BASE_MAPA!$I$2:$I$260), "ERRO")</f>
        <v>069-ZEV</v>
      </c>
      <c r="V538" s="198" t="s">
        <v>963</v>
      </c>
      <c r="W538" s="256" t="s">
        <v>1126</v>
      </c>
      <c r="X538" s="52" t="s">
        <v>667</v>
      </c>
      <c r="Y538" s="158"/>
      <c r="Z538" s="158"/>
      <c r="AA538" s="84">
        <v>1</v>
      </c>
      <c r="AB538" s="71" t="s">
        <v>659</v>
      </c>
      <c r="AC538" s="71" t="s">
        <v>654</v>
      </c>
      <c r="AD538" s="173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3" t="str">
        <f>IF(BS_CONTROLE[[#This Row],[Local - Partida]]=0, "-", BS_CONTROLE[[#This Row],[Local - Partida]])</f>
        <v>K67ZEV1</v>
      </c>
      <c r="AL538" s="273" t="str">
        <f>IF(BS_CONTROLE[[#This Row],[Local - Encerramento]]=0, "-", BS_CONTROLE[[#This Row],[Local - Encerramento]])</f>
        <v>K67ZEV1</v>
      </c>
      <c r="AM538" s="273" t="str">
        <f>IF(BS_CONTROLE[[#This Row],[Entre - Estações]]=0, "-", BS_CONTROLE[[#This Row],[Entre - Estações]])</f>
        <v>ZEV-ZXW</v>
      </c>
      <c r="AN538" s="273" t="str">
        <f>IF(BS_CONTROLE[[#This Row],[SB]]=0, "-", BS_CONTROLE[[#This Row],[SB]])</f>
        <v>K84ZXW2</v>
      </c>
      <c r="AO538" s="254">
        <f>IF(BS_CONTROLE[[#This Row],[SUB]]=0, "-", BS_CONTROLE[[#This Row],[SUB]])</f>
        <v>92</v>
      </c>
      <c r="AP538" s="255">
        <f>IF(BS_CONTROLE[[#This Row],[KM - Inicio]]=0, "-", BS_CONTROLE[[#This Row],[KM - Inicio]])</f>
        <v>83.7</v>
      </c>
      <c r="AQ538" s="255" t="str">
        <f>IF(BS_CONTROLE[[#This Row],[KM - Fim]]=0, "-", BS_CONTROLE[[#This Row],[KM - Fim]])</f>
        <v>-</v>
      </c>
      <c r="AR538" s="274"/>
      <c r="AS538" s="274"/>
      <c r="AT538" s="274"/>
      <c r="AU538" s="237"/>
      <c r="AV538" s="237"/>
      <c r="AW538" s="237"/>
      <c r="AX538" s="39"/>
      <c r="AY538" s="12">
        <f>IF(D538="","*",IFERROR(IF(ISODD(COUNT(AS538:AX538)),"ERRO",SUM((AT538-AS538),(AV538-AU538),(AX538-AW538))),"ERRO"))</f>
        <v>0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3" t="str">
        <f>IFERROR(_xlfn.XLOOKUP(AO538, BASE_MAPA!$D$2:$D$260, BASE_MAPA!$I$2:$I$260), "ERRO")</f>
        <v>069-ZEV</v>
      </c>
      <c r="BF538" s="256" t="str">
        <f>IF(BS_CONTROLE[[#This Row],[Responsavel pelo boletim]]=0, "-", BS_CONTROLE[[#This Row],[Responsavel pelo boletim]])</f>
        <v>Moisés</v>
      </c>
      <c r="BG538" s="16"/>
      <c r="BH538" s="17"/>
      <c r="BI538" s="17"/>
      <c r="BJ538" s="277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Produção e Intervalo</v>
      </c>
      <c r="BR538" s="19">
        <f>IF(OR(B538="",F538=""),"*",AY538/P538)</f>
        <v>0</v>
      </c>
      <c r="BS538" s="19">
        <f>IF(OR(B538="",F538=""),"*",BA538/Q538)</f>
        <v>0</v>
      </c>
    </row>
    <row r="539" spans="1:71" ht="23.25">
      <c r="A539" s="167" t="str">
        <f t="shared" si="54"/>
        <v>ANTONI  (TP-720)46014</v>
      </c>
      <c r="B539" s="168">
        <v>46014</v>
      </c>
      <c r="C539" s="8"/>
      <c r="D539" s="52" t="s">
        <v>568</v>
      </c>
      <c r="E539" s="306">
        <v>91</v>
      </c>
      <c r="F539" s="172" t="s">
        <v>502</v>
      </c>
      <c r="G539" s="159" t="str">
        <f>IF(D539="","*",VLOOKUP(F539,BS_ATIVIDADE[#All],3,FALSE))</f>
        <v>DORMENTE - SUBSTITUIÇÂO</v>
      </c>
      <c r="H539" s="204" t="s">
        <v>317</v>
      </c>
      <c r="I539" s="143"/>
      <c r="J539" s="38">
        <v>92</v>
      </c>
      <c r="K539" s="38">
        <v>83.3</v>
      </c>
      <c r="L539" s="84" t="s">
        <v>317</v>
      </c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1" t="str">
        <f>IFERROR(_xlfn.XLOOKUP(J539, BASE_MAPA!$D$2:$D$260, BASE_MAPA!$I$2:$I$260), "ERRO")</f>
        <v>069-ZEV</v>
      </c>
      <c r="V539" s="269" t="s">
        <v>1672</v>
      </c>
      <c r="W539" s="173" t="s">
        <v>1673</v>
      </c>
      <c r="X539" s="52" t="s">
        <v>667</v>
      </c>
      <c r="Y539" s="158"/>
      <c r="Z539" s="158"/>
      <c r="AA539" s="144" t="s">
        <v>317</v>
      </c>
      <c r="AB539" s="71" t="s">
        <v>317</v>
      </c>
      <c r="AC539" s="71" t="s">
        <v>317</v>
      </c>
      <c r="AD539" s="173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ZXW</v>
      </c>
      <c r="AN539" s="273" t="str">
        <f>IF(BS_CONTROLE[[#This Row],[SB]]=0, "-", BS_CONTROLE[[#This Row],[SB]])</f>
        <v>K84ZXW2</v>
      </c>
      <c r="AO539" s="254">
        <f>IF(BS_CONTROLE[[#This Row],[SUB]]=0, "-", BS_CONTROLE[[#This Row],[SUB]])</f>
        <v>92</v>
      </c>
      <c r="AP539" s="255">
        <f>IF(BS_CONTROLE[[#This Row],[KM - Inicio]]=0, "-", BS_CONTROLE[[#This Row],[KM - Inicio]])</f>
        <v>83.3</v>
      </c>
      <c r="AQ539" s="255" t="str">
        <f>IF(BS_CONTROLE[[#This Row],[KM - Fim]]=0, "-", BS_CONTROLE[[#This Row],[KM - Fim]])</f>
        <v>-</v>
      </c>
      <c r="AR539" s="274"/>
      <c r="AS539" s="274"/>
      <c r="AT539" s="274"/>
      <c r="AU539" s="237"/>
      <c r="AV539" s="237"/>
      <c r="AW539" s="237"/>
      <c r="AX539" s="39"/>
      <c r="AY539" s="12">
        <f>IF(D539="","*",IFERROR(IF(ISODD(COUNT(AS539:AX539)),"ERRO",SUM((AT539-AS539),(AV539-AU539),(AX539-AW539))),"ERRO"))</f>
        <v>0</v>
      </c>
      <c r="AZ539" s="14"/>
      <c r="BA539" s="72"/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3" t="str">
        <f>IFERROR(_xlfn.XLOOKUP(AO539, BASE_MAPA!$D$2:$D$260, BASE_MAPA!$I$2:$I$260), "ERRO")</f>
        <v>069-ZEV</v>
      </c>
      <c r="BF539" s="256" t="str">
        <f>IF(BS_CONTROLE[[#This Row],[Responsavel pelo boletim]]=0, "-", BS_CONTROLE[[#This Row],[Responsavel pelo boletim]])</f>
        <v>Antoni / Moisés</v>
      </c>
      <c r="BG539" s="16"/>
      <c r="BH539" s="17"/>
      <c r="BI539" s="17"/>
      <c r="BJ539" s="277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7" t="str">
        <f t="shared" si="54"/>
        <v>W6246014</v>
      </c>
      <c r="B540" s="168">
        <v>46014</v>
      </c>
      <c r="C540" s="8"/>
      <c r="D540" s="52" t="s">
        <v>544</v>
      </c>
      <c r="E540" s="286">
        <v>476</v>
      </c>
      <c r="F540" s="172" t="s">
        <v>331</v>
      </c>
      <c r="G540" s="159" t="str">
        <f>IF(D540="","*",VLOOKUP(F540,BS_ATIVIDADE[#All],3,FALSE))</f>
        <v>OUTROS</v>
      </c>
      <c r="H540" s="173" t="s">
        <v>178</v>
      </c>
      <c r="I540" s="173" t="s">
        <v>956</v>
      </c>
      <c r="J540" s="217">
        <v>54</v>
      </c>
      <c r="K540" s="217">
        <v>83.7</v>
      </c>
      <c r="L540" s="217" t="s">
        <v>317</v>
      </c>
      <c r="M540" s="204" t="s">
        <v>981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3">
        <v>0.3125</v>
      </c>
      <c r="P540" s="173">
        <v>4.1666666666666664E-2</v>
      </c>
      <c r="Q540" s="217">
        <v>1</v>
      </c>
      <c r="R540" s="10" t="str">
        <f>IFERROR(_xlfn.XLOOKUP(F540, BS_ATIVIDADE[ATIVIDADE],BS_ATIVIDADE[UNIDADE] ), "*")</f>
        <v>BINÁRIO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1" t="str">
        <f>IFERROR(_xlfn.XLOOKUP(J540, BASE_MAPA!$D$2:$D$260, BASE_MAPA!$I$2:$I$260), "ERRO")</f>
        <v>ZEV</v>
      </c>
      <c r="V540" s="198" t="s">
        <v>963</v>
      </c>
      <c r="W540" s="256" t="s">
        <v>1126</v>
      </c>
      <c r="X540" s="52" t="s">
        <v>667</v>
      </c>
      <c r="Y540" s="158"/>
      <c r="Z540" s="158"/>
      <c r="AA540" s="217">
        <v>1</v>
      </c>
      <c r="AB540" s="172" t="s">
        <v>659</v>
      </c>
      <c r="AC540" s="172" t="s">
        <v>654</v>
      </c>
      <c r="AD540" s="308">
        <v>0.27083333333333331</v>
      </c>
      <c r="AE540" s="217">
        <v>9038</v>
      </c>
      <c r="AF540" s="217" t="s">
        <v>317</v>
      </c>
      <c r="AG540" s="217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3" t="str">
        <f>IF(BS_CONTROLE[[#This Row],[Local - Partida]]=0, "-", BS_CONTROLE[[#This Row],[Local - Partida]])</f>
        <v>ZPT1051</v>
      </c>
      <c r="AL540" s="273" t="str">
        <f>IF(BS_CONTROLE[[#This Row],[Local - Encerramento]]=0, "-", BS_CONTROLE[[#This Row],[Local - Encerramento]])</f>
        <v>ZPTZDR</v>
      </c>
      <c r="AM540" s="273" t="str">
        <f>IF(BS_CONTROLE[[#This Row],[Entre - Estações]]=0, "-", BS_CONTROLE[[#This Row],[Entre - Estações]])</f>
        <v>ZPT-ZXW</v>
      </c>
      <c r="AN540" s="273" t="str">
        <f>IF(BS_CONTROLE[[#This Row],[SB]]=0, "-", BS_CONTROLE[[#This Row],[SB]])</f>
        <v>K84ZXW1</v>
      </c>
      <c r="AO540" s="254">
        <f>IF(BS_CONTROLE[[#This Row],[SUB]]=0, "-", BS_CONTROLE[[#This Row],[SUB]])</f>
        <v>54</v>
      </c>
      <c r="AP540" s="255">
        <f>IF(BS_CONTROLE[[#This Row],[KM - Inicio]]=0, "-", BS_CONTROLE[[#This Row],[KM - Inicio]])</f>
        <v>83.7</v>
      </c>
      <c r="AQ540" s="255" t="str">
        <f>IF(BS_CONTROLE[[#This Row],[KM - Fim]]=0, "-", BS_CONTROLE[[#This Row],[KM - Fim]])</f>
        <v>-</v>
      </c>
      <c r="AR540" s="274"/>
      <c r="AS540" s="274"/>
      <c r="AT540" s="274"/>
      <c r="AU540" s="237"/>
      <c r="AV540" s="237"/>
      <c r="AW540" s="237"/>
      <c r="AX540" s="39"/>
      <c r="AY540" s="12">
        <f>IF(D540="","*",IFERROR(IF(ISODD(COUNT(AS540:AX540)),"ERRO",SUM((AT540-AS540),(AV540-AU540),(AX540-AW540))),"ERRO"))</f>
        <v>0</v>
      </c>
      <c r="AZ540" s="14"/>
      <c r="BA540" s="72"/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3" t="str">
        <f>IFERROR(_xlfn.XLOOKUP(AO540, BASE_MAPA!$D$2:$D$260, BASE_MAPA!$I$2:$I$260), "ERRO")</f>
        <v>ZEV</v>
      </c>
      <c r="BF540" s="256" t="str">
        <f>IF(BS_CONTROLE[[#This Row],[Responsavel pelo boletim]]=0, "-", BS_CONTROLE[[#This Row],[Responsavel pelo boletim]])</f>
        <v>Moisés</v>
      </c>
      <c r="BG540" s="16"/>
      <c r="BH540" s="17"/>
      <c r="BI540" s="17"/>
      <c r="BJ540" s="277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7" t="str">
        <f t="shared" si="54"/>
        <v>EDSON (TP-719)46014</v>
      </c>
      <c r="B541" s="168">
        <v>46014</v>
      </c>
      <c r="C541" s="8"/>
      <c r="D541" s="52" t="s">
        <v>588</v>
      </c>
      <c r="E541" s="286">
        <v>508</v>
      </c>
      <c r="F541" s="172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1" t="str">
        <f>IFERROR(_xlfn.XLOOKUP(J541, BASE_MAPA!$D$2:$D$260, BASE_MAPA!$I$2:$I$260), "ERRO")</f>
        <v>069-ZEV</v>
      </c>
      <c r="V541" s="269" t="s">
        <v>968</v>
      </c>
      <c r="W541" s="173" t="s">
        <v>1130</v>
      </c>
      <c r="X541" s="52" t="s">
        <v>667</v>
      </c>
      <c r="Y541" s="158"/>
      <c r="Z541" s="158"/>
      <c r="AA541" s="144" t="s">
        <v>317</v>
      </c>
      <c r="AB541" s="71"/>
      <c r="AC541" s="71" t="s">
        <v>317</v>
      </c>
      <c r="AD541" s="173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ZGP-ZWU</v>
      </c>
      <c r="AN541" s="273" t="str">
        <f>IF(BS_CONTROLE[[#This Row],[SB]]=0, "-", BS_CONTROLE[[#This Row],[SB]])</f>
        <v>ZGP1002</v>
      </c>
      <c r="AO541" s="254">
        <f>IF(BS_CONTROLE[[#This Row],[SUB]]=0, "-", BS_CONTROLE[[#This Row],[SUB]])</f>
        <v>92</v>
      </c>
      <c r="AP541" s="255">
        <f>IF(BS_CONTROLE[[#This Row],[KM - Inicio]]=0, "-", BS_CONTROLE[[#This Row],[KM - Inicio]])</f>
        <v>101.7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>
        <f>IF(D541="","*",IFERROR(IF(ISODD(COUNT(AS541:AX541)),"ERRO",SUM((AT541-AS541),(AV541-AU541),(AX541-AW541))),"ERRO"))</f>
        <v>0</v>
      </c>
      <c r="AZ541" s="14"/>
      <c r="BA541" s="72"/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3" t="str">
        <f>IFERROR(_xlfn.XLOOKUP(AO541, BASE_MAPA!$D$2:$D$260, BASE_MAPA!$I$2:$I$260), "ERRO")</f>
        <v>069-ZEV</v>
      </c>
      <c r="BF541" s="256" t="str">
        <f>IF(BS_CONTROLE[[#This Row],[Responsavel pelo boletim]]=0, "-", BS_CONTROLE[[#This Row],[Responsavel pelo boletim]])</f>
        <v>Moises</v>
      </c>
      <c r="BG541" s="16"/>
      <c r="BH541" s="17"/>
      <c r="BI541" s="17"/>
      <c r="BJ541" s="277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7" t="str">
        <f t="shared" si="54"/>
        <v>JACIANO (TF-674)46014</v>
      </c>
      <c r="B542" s="168">
        <v>46014</v>
      </c>
      <c r="C542" s="8"/>
      <c r="D542" s="52" t="s">
        <v>604</v>
      </c>
      <c r="E542" s="286">
        <v>535</v>
      </c>
      <c r="F542" s="172" t="s">
        <v>502</v>
      </c>
      <c r="G542" s="159" t="str">
        <f>IF(D542="","*",VLOOKUP(F542,BS_ATIVIDADE[#All],3,FALSE))</f>
        <v>DORMENTE - SUBSTITUIÇÂO</v>
      </c>
      <c r="H542" s="143" t="s">
        <v>317</v>
      </c>
      <c r="I542" s="143" t="s">
        <v>317</v>
      </c>
      <c r="J542" s="38">
        <v>53</v>
      </c>
      <c r="K542" s="38">
        <v>109.3</v>
      </c>
      <c r="L542" s="84" t="s">
        <v>317</v>
      </c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43">
        <v>0.45833333333333331</v>
      </c>
      <c r="P542" s="143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1" t="str">
        <f>IFERROR(_xlfn.XLOOKUP(J542, BASE_MAPA!$D$2:$D$260, BASE_MAPA!$I$2:$I$260), "ERRO")</f>
        <v>PAT-ZGM</v>
      </c>
      <c r="V542" s="269" t="s">
        <v>968</v>
      </c>
      <c r="W542" s="256" t="s">
        <v>936</v>
      </c>
      <c r="X542" s="52" t="s">
        <v>667</v>
      </c>
      <c r="Y542" s="158"/>
      <c r="Z542" s="158"/>
      <c r="AA542" s="84">
        <v>1</v>
      </c>
      <c r="AB542" s="71" t="s">
        <v>659</v>
      </c>
      <c r="AC542" s="71" t="s">
        <v>654</v>
      </c>
      <c r="AD542" s="173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PAT-ZGM</v>
      </c>
      <c r="AN542" s="273" t="str">
        <f>IF(BS_CONTROLE[[#This Row],[SB]]=0, "-", BS_CONTROLE[[#This Row],[SB]])</f>
        <v>PAT1102</v>
      </c>
      <c r="AO542" s="254">
        <f>IF(BS_CONTROLE[[#This Row],[SUB]]=0, "-", BS_CONTROLE[[#This Row],[SUB]])</f>
        <v>53</v>
      </c>
      <c r="AP542" s="255">
        <f>IF(BS_CONTROLE[[#This Row],[KM - Inicio]]=0, "-", BS_CONTROLE[[#This Row],[KM - Inicio]])</f>
        <v>109.3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>
        <f>IF(D542="","*",IFERROR(IF(ISODD(COUNT(AS542:AX542)),"ERRO",SUM((AT542-AS542),(AV542-AU542),(AX542-AW542))),"ERRO"))</f>
        <v>0</v>
      </c>
      <c r="AZ542" s="14"/>
      <c r="BA542" s="72"/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3" t="str">
        <f>IFERROR(_xlfn.XLOOKUP(AO542, BASE_MAPA!$D$2:$D$260, BASE_MAPA!$I$2:$I$260), "ERRO")</f>
        <v>PAT-ZGM</v>
      </c>
      <c r="BF542" s="256" t="str">
        <f>IF(BS_CONTROLE[[#This Row],[Responsavel pelo boletim]]=0, "-", BS_CONTROLE[[#This Row],[Responsavel pelo boletim]])</f>
        <v>Moises</v>
      </c>
      <c r="BG542" s="16"/>
      <c r="BH542" s="17"/>
      <c r="BI542" s="17"/>
      <c r="BJ542" s="277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7" t="str">
        <f t="shared" si="54"/>
        <v>V8546014</v>
      </c>
      <c r="B543" s="168">
        <v>46014</v>
      </c>
      <c r="C543" s="8"/>
      <c r="D543" s="52" t="s">
        <v>512</v>
      </c>
      <c r="E543" s="286">
        <v>46</v>
      </c>
      <c r="F543" s="172" t="s">
        <v>421</v>
      </c>
      <c r="G543" s="159" t="str">
        <f>IF(D543="","*",VLOOKUP(F543,BS_ATIVIDADE[#All],3,FALSE))</f>
        <v>MECANIZAÇÃO - SOCADORA</v>
      </c>
      <c r="H543" s="173" t="s">
        <v>988</v>
      </c>
      <c r="I543" s="173" t="s">
        <v>956</v>
      </c>
      <c r="J543" s="217">
        <v>30</v>
      </c>
      <c r="K543" s="217">
        <v>114.3</v>
      </c>
      <c r="L543" s="217">
        <v>115</v>
      </c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3">
        <v>0.35416666666666669</v>
      </c>
      <c r="P543" s="173">
        <v>6.25E-2</v>
      </c>
      <c r="Q543" s="217">
        <v>700</v>
      </c>
      <c r="R543" s="10" t="str">
        <f>IFERROR(_xlfn.XLOOKUP(F543, BS_ATIVIDADE[ATIVIDADE],BS_ATIVIDADE[UNIDADE] ), "*")</f>
        <v>M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1" t="str">
        <f>IFERROR(_xlfn.XLOOKUP(J543, BASE_MAPA!$D$2:$D$260, BASE_MAPA!$I$2:$I$260), "ERRO")</f>
        <v>ZGM-109</v>
      </c>
      <c r="V543" s="198" t="s">
        <v>929</v>
      </c>
      <c r="W543" s="256" t="s">
        <v>1098</v>
      </c>
      <c r="X543" s="52" t="s">
        <v>667</v>
      </c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3" t="str">
        <f>IF(BS_CONTROLE[[#This Row],[Local - Partida]]=0, "-", BS_CONTROLE[[#This Row],[Local - Partida]])</f>
        <v>109ZPT2</v>
      </c>
      <c r="AL543" s="273" t="str">
        <f>IF(BS_CONTROLE[[#This Row],[Local - Encerramento]]=0, "-", BS_CONTROLE[[#This Row],[Local - Encerramento]])</f>
        <v>ZPTZDR</v>
      </c>
      <c r="AM543" s="273" t="str">
        <f>IF(BS_CONTROLE[[#This Row],[Entre - Estações]]=0, "-", BS_CONTROLE[[#This Row],[Entre - Estações]])</f>
        <v>ZGM1</v>
      </c>
      <c r="AN543" s="273" t="str">
        <f>IF(BS_CONTROLE[[#This Row],[SB]]=0, "-", BS_CONTROLE[[#This Row],[SB]])</f>
        <v>ZGM1</v>
      </c>
      <c r="AO543" s="254">
        <f>IF(BS_CONTROLE[[#This Row],[SUB]]=0, "-", BS_CONTROLE[[#This Row],[SUB]])</f>
        <v>30</v>
      </c>
      <c r="AP543" s="255">
        <f>IF(BS_CONTROLE[[#This Row],[KM - Inicio]]=0, "-", BS_CONTROLE[[#This Row],[KM - Inicio]])</f>
        <v>114.3</v>
      </c>
      <c r="AQ543" s="255">
        <f>IF(BS_CONTROLE[[#This Row],[KM - Fim]]=0, "-", BS_CONTROLE[[#This Row],[KM - Fim]])</f>
        <v>115</v>
      </c>
      <c r="AR543" s="274"/>
      <c r="AS543" s="274"/>
      <c r="AT543" s="274"/>
      <c r="AU543" s="237"/>
      <c r="AV543" s="237"/>
      <c r="AW543" s="237"/>
      <c r="AX543" s="39"/>
      <c r="AY543" s="12">
        <f>IF(D543="","*",IFERROR(IF(ISODD(COUNT(AS543:AX543)),"ERRO",SUM((AT543-AS543),(AV543-AU543),(AX543-AW543))),"ERRO"))</f>
        <v>0</v>
      </c>
      <c r="AZ543" s="14"/>
      <c r="BA543" s="72"/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3" t="str">
        <f>IFERROR(_xlfn.XLOOKUP(AO543, BASE_MAPA!$D$2:$D$260, BASE_MAPA!$I$2:$I$260), "ERRO")</f>
        <v>ZGM-109</v>
      </c>
      <c r="BF543" s="256" t="str">
        <f>IF(BS_CONTROLE[[#This Row],[Responsavel pelo boletim]]=0, "-", BS_CONTROLE[[#This Row],[Responsavel pelo boletim]])</f>
        <v>Saulo</v>
      </c>
      <c r="BG543" s="16"/>
      <c r="BH543" s="17"/>
      <c r="BI543" s="17"/>
      <c r="BJ543" s="277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214"/>
      <c r="BP554" s="252"/>
      <c r="BQ554" s="215"/>
      <c r="BR554" s="216"/>
      <c r="BS554" s="216"/>
    </row>
    <row r="555" spans="1:7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214"/>
      <c r="BP555" s="252"/>
      <c r="BQ555" s="215"/>
      <c r="BR555" s="216"/>
      <c r="BS555" s="216"/>
    </row>
    <row r="556" spans="1:7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214"/>
      <c r="BP556" s="252"/>
      <c r="BQ556" s="215"/>
      <c r="BR556" s="216"/>
      <c r="BS556" s="216"/>
    </row>
    <row r="557" spans="1:7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214"/>
      <c r="BP557" s="252"/>
      <c r="BQ557" s="215"/>
      <c r="BR557" s="216"/>
      <c r="BS557" s="216"/>
    </row>
    <row r="558" spans="1:7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214"/>
      <c r="BP558" s="252"/>
      <c r="BQ558" s="215"/>
      <c r="BR558" s="216"/>
      <c r="BS558" s="216"/>
    </row>
    <row r="559" spans="1:7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214"/>
      <c r="BP559" s="252"/>
      <c r="BQ559" s="215"/>
      <c r="BR559" s="216"/>
      <c r="BS559" s="216"/>
    </row>
    <row r="560" spans="1:7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214"/>
      <c r="BP560" s="252"/>
      <c r="BQ560" s="215"/>
      <c r="BR560" s="216"/>
      <c r="BS560" s="216"/>
    </row>
    <row r="561" spans="1:7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214"/>
      <c r="BP561" s="252"/>
      <c r="BQ561" s="215"/>
      <c r="BR561" s="216"/>
      <c r="BS561" s="216"/>
    </row>
    <row r="562" spans="1:7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214"/>
      <c r="BP562" s="252"/>
      <c r="BQ562" s="215"/>
      <c r="BR562" s="216"/>
      <c r="BS562" s="216"/>
    </row>
    <row r="563" spans="1:7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214"/>
      <c r="BP563" s="252"/>
      <c r="BQ563" s="215"/>
      <c r="BR563" s="216"/>
      <c r="BS563" s="216"/>
    </row>
    <row r="564" spans="1:7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214"/>
      <c r="BP564" s="252"/>
      <c r="BQ564" s="215"/>
      <c r="BR564" s="216"/>
      <c r="BS564" s="216"/>
    </row>
    <row r="565" spans="1:7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214"/>
      <c r="BP565" s="252"/>
      <c r="BQ565" s="215"/>
      <c r="BR565" s="216"/>
      <c r="BS565" s="216"/>
    </row>
    <row r="566" spans="1:7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214"/>
      <c r="BP566" s="252"/>
      <c r="BQ566" s="215"/>
      <c r="BR566" s="216"/>
      <c r="BS566" s="216"/>
    </row>
    <row r="567" spans="1:7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214"/>
      <c r="BP567" s="252"/>
      <c r="BQ567" s="215"/>
      <c r="BR567" s="216"/>
      <c r="BS567" s="216"/>
    </row>
    <row r="568" spans="1:7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214"/>
      <c r="BP568" s="252"/>
      <c r="BQ568" s="215"/>
      <c r="BR568" s="216"/>
      <c r="BS568" s="216"/>
    </row>
    <row r="569" spans="1:7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214"/>
      <c r="BP569" s="252"/>
      <c r="BQ569" s="215"/>
      <c r="BR569" s="216"/>
      <c r="BS569" s="216"/>
    </row>
    <row r="570" spans="1:7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214"/>
      <c r="BP570" s="252"/>
      <c r="BQ570" s="215"/>
      <c r="BR570" s="216"/>
      <c r="BS570" s="216"/>
    </row>
    <row r="571" spans="1:7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214"/>
      <c r="BP571" s="252"/>
      <c r="BQ571" s="215"/>
      <c r="BR571" s="216"/>
      <c r="BS571" s="216"/>
    </row>
    <row r="572" spans="1:7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214"/>
      <c r="BP572" s="252"/>
      <c r="BQ572" s="215"/>
      <c r="BR572" s="216"/>
      <c r="BS572" s="216"/>
    </row>
    <row r="573" spans="1:7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214"/>
      <c r="BP573" s="252"/>
      <c r="BQ573" s="215"/>
      <c r="BR573" s="216"/>
      <c r="BS573" s="216"/>
    </row>
    <row r="574" spans="1:7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214"/>
      <c r="BP574" s="252"/>
      <c r="BQ574" s="215"/>
      <c r="BR574" s="216"/>
      <c r="BS574" s="216"/>
    </row>
    <row r="575" spans="1:7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214"/>
      <c r="BP575" s="252"/>
      <c r="BQ575" s="215"/>
      <c r="BR575" s="216"/>
      <c r="BS575" s="216"/>
    </row>
    <row r="576" spans="1:7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214"/>
      <c r="BP576" s="252"/>
      <c r="BQ576" s="215"/>
      <c r="BR576" s="216"/>
      <c r="BS576" s="216"/>
    </row>
    <row r="577" spans="1:7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214"/>
      <c r="BP577" s="252"/>
      <c r="BQ577" s="215"/>
      <c r="BR577" s="216"/>
      <c r="BS577" s="216"/>
    </row>
    <row r="578" spans="1:7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214"/>
      <c r="BP578" s="252"/>
      <c r="BQ578" s="215"/>
      <c r="BR578" s="216"/>
      <c r="BS578" s="216"/>
    </row>
    <row r="579" spans="1:7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214"/>
      <c r="BP579" s="252"/>
      <c r="BQ579" s="215"/>
      <c r="BR579" s="216"/>
      <c r="BS579" s="216"/>
    </row>
    <row r="580" spans="1:7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214"/>
      <c r="BP580" s="252"/>
      <c r="BQ580" s="215"/>
      <c r="BR580" s="216"/>
      <c r="BS580" s="216"/>
    </row>
    <row r="581" spans="1:7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214"/>
      <c r="BP581" s="252"/>
      <c r="BQ581" s="215"/>
      <c r="BR581" s="216"/>
      <c r="BS581" s="216"/>
    </row>
    <row r="582" spans="1:7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214"/>
      <c r="BP582" s="252"/>
      <c r="BQ582" s="215"/>
      <c r="BR582" s="216"/>
      <c r="BS582" s="216"/>
    </row>
    <row r="583" spans="1:7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" name="Range1_19_1"/>
    <protectedRange sqref="AA27:AC27 AA25:AE25 AA75:AC75 AA103:AC103 AA148:AE148 AA151:AC151 AA212:AE212 AA301:AE301 AA326:AE326 AA358:AE358 AA408:AE408 AA467:AE467 AA483:AE483 AA517:AE517 AA540:AE540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Y520:Y551 Z475 Y475:Y481 Y485:Z487 Y489:Z491 Y493:Z497 Y498:Y499 Y501:Y515 Y516:Z519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Y520:Y551 X517 X520:X521 Z475 Y475:Y481 Y485:Z487 Y489:Z491 Y493:Z497 Y498:Y499 Y501:Y515 Y516:Z519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1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517 BP519:BP600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4 AG530 AG527:AG528 AG537:AG538 AG542 AG540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6" sqref="E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85" t="s">
        <v>1684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 ht="34.5" customHeight="1">
      <c r="C3" s="318" t="s">
        <v>409</v>
      </c>
      <c r="D3" s="318" t="s">
        <v>1685</v>
      </c>
      <c r="E3" s="318" t="s">
        <v>1686</v>
      </c>
      <c r="F3" s="318" t="s">
        <v>1687</v>
      </c>
      <c r="G3" s="323" t="s">
        <v>1688</v>
      </c>
      <c r="H3" s="318" t="s">
        <v>1689</v>
      </c>
    </row>
    <row r="4" spans="3:8">
      <c r="C4" s="321" t="s">
        <v>541</v>
      </c>
      <c r="D4" s="321">
        <v>9347</v>
      </c>
      <c r="E4" s="322">
        <v>45985</v>
      </c>
      <c r="F4" s="321">
        <v>7000</v>
      </c>
      <c r="G4" s="325" t="s">
        <v>1690</v>
      </c>
      <c r="H4" s="321"/>
    </row>
    <row r="5" spans="3:8">
      <c r="C5" s="319" t="s">
        <v>541</v>
      </c>
      <c r="D5" s="319" t="s">
        <v>1691</v>
      </c>
      <c r="E5" s="320">
        <v>46013</v>
      </c>
      <c r="F5" s="319">
        <v>7000</v>
      </c>
      <c r="G5" s="324" t="s">
        <v>1692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1693</v>
      </c>
      <c r="G6" s="324" t="s">
        <v>1692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1694</v>
      </c>
      <c r="G7" s="325" t="s">
        <v>1695</v>
      </c>
      <c r="H7" s="321" t="s">
        <v>928</v>
      </c>
    </row>
    <row r="8" spans="3:8">
      <c r="C8" s="319" t="s">
        <v>543</v>
      </c>
      <c r="D8" s="319">
        <v>7663</v>
      </c>
      <c r="E8" s="320">
        <v>46008</v>
      </c>
      <c r="F8" s="319" t="s">
        <v>1696</v>
      </c>
      <c r="G8" s="324" t="s">
        <v>1697</v>
      </c>
      <c r="H8" s="319" t="s">
        <v>1698</v>
      </c>
    </row>
    <row r="9" spans="3:8">
      <c r="C9" s="319" t="s">
        <v>463</v>
      </c>
      <c r="D9" s="319" t="s">
        <v>1699</v>
      </c>
      <c r="E9" s="320">
        <v>45993</v>
      </c>
      <c r="F9" s="319">
        <v>12000</v>
      </c>
      <c r="G9" s="324" t="s">
        <v>1700</v>
      </c>
      <c r="H9" s="319"/>
    </row>
    <row r="10" spans="3:8" ht="29.25">
      <c r="C10" s="319" t="s">
        <v>463</v>
      </c>
      <c r="D10" s="319" t="s">
        <v>1701</v>
      </c>
      <c r="E10" s="320">
        <v>45993</v>
      </c>
      <c r="F10" s="319">
        <v>9000</v>
      </c>
      <c r="G10" s="324" t="s">
        <v>1702</v>
      </c>
      <c r="H10" s="319"/>
    </row>
    <row r="11" spans="3:8" ht="29.25">
      <c r="C11" s="319" t="s">
        <v>463</v>
      </c>
      <c r="D11" s="319" t="s">
        <v>1703</v>
      </c>
      <c r="E11" s="320">
        <v>45993</v>
      </c>
      <c r="F11" s="319">
        <v>10000</v>
      </c>
      <c r="G11" s="324" t="s">
        <v>1702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1704</v>
      </c>
      <c r="G12" s="324" t="s">
        <v>1705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3" t="s">
        <v>1706</v>
      </c>
      <c r="C2" s="383"/>
      <c r="D2" s="383"/>
      <c r="E2" s="383"/>
      <c r="F2" s="383"/>
      <c r="G2" s="383"/>
    </row>
    <row r="3" spans="2:8" ht="20.25" customHeight="1">
      <c r="B3" s="384"/>
      <c r="C3" s="384"/>
      <c r="D3" s="384"/>
      <c r="E3" s="384"/>
      <c r="F3" s="384"/>
      <c r="G3" s="384"/>
    </row>
    <row r="4" spans="2:8">
      <c r="B4" s="323" t="s">
        <v>1707</v>
      </c>
      <c r="C4" s="323" t="s">
        <v>1708</v>
      </c>
      <c r="D4" s="323" t="s">
        <v>1709</v>
      </c>
      <c r="E4" s="323" t="s">
        <v>1710</v>
      </c>
      <c r="F4" s="323" t="s">
        <v>8</v>
      </c>
      <c r="G4" s="323" t="s">
        <v>1711</v>
      </c>
    </row>
    <row r="5" spans="2:8">
      <c r="B5" s="326" t="s">
        <v>1153</v>
      </c>
      <c r="C5" s="326">
        <v>314978</v>
      </c>
      <c r="D5" s="326" t="s">
        <v>1712</v>
      </c>
      <c r="E5" s="326" t="s">
        <v>541</v>
      </c>
      <c r="F5" s="326" t="s">
        <v>101</v>
      </c>
      <c r="G5" s="327">
        <v>46143</v>
      </c>
    </row>
    <row r="6" spans="2:8">
      <c r="B6" s="326" t="s">
        <v>1713</v>
      </c>
      <c r="C6" s="326">
        <v>256790</v>
      </c>
      <c r="D6" s="326" t="s">
        <v>1714</v>
      </c>
      <c r="E6" s="326" t="s">
        <v>541</v>
      </c>
      <c r="F6" s="326" t="s">
        <v>1715</v>
      </c>
      <c r="G6" s="327">
        <v>45992</v>
      </c>
    </row>
    <row r="7" spans="2:8">
      <c r="B7" s="326" t="s">
        <v>1716</v>
      </c>
      <c r="C7" s="326">
        <v>265193</v>
      </c>
      <c r="D7" s="326" t="s">
        <v>1717</v>
      </c>
      <c r="E7" s="326" t="s">
        <v>542</v>
      </c>
      <c r="F7" s="326" t="s">
        <v>1500</v>
      </c>
      <c r="G7" s="326" t="s">
        <v>1718</v>
      </c>
    </row>
    <row r="8" spans="2:8">
      <c r="B8" s="326" t="s">
        <v>1719</v>
      </c>
      <c r="C8" s="326">
        <v>293716</v>
      </c>
      <c r="D8" s="326" t="s">
        <v>1720</v>
      </c>
      <c r="E8" s="326" t="s">
        <v>542</v>
      </c>
      <c r="F8" s="326" t="s">
        <v>1500</v>
      </c>
      <c r="G8" s="327">
        <v>46204</v>
      </c>
    </row>
    <row r="9" spans="2:8">
      <c r="B9" s="326" t="s">
        <v>1721</v>
      </c>
      <c r="C9" s="326">
        <v>257258</v>
      </c>
      <c r="D9" s="326" t="s">
        <v>1722</v>
      </c>
      <c r="E9" s="326" t="s">
        <v>543</v>
      </c>
      <c r="F9" s="326" t="s">
        <v>144</v>
      </c>
      <c r="G9" s="327">
        <v>46327</v>
      </c>
    </row>
    <row r="10" spans="2:8">
      <c r="B10" s="326" t="s">
        <v>1723</v>
      </c>
      <c r="C10" s="326">
        <v>371147</v>
      </c>
      <c r="D10" s="326" t="s">
        <v>1724</v>
      </c>
      <c r="E10" s="326" t="s">
        <v>543</v>
      </c>
      <c r="F10" s="326" t="s">
        <v>144</v>
      </c>
      <c r="G10" s="326" t="s">
        <v>1718</v>
      </c>
    </row>
    <row r="11" spans="2:8">
      <c r="B11" s="326" t="s">
        <v>1725</v>
      </c>
      <c r="C11" s="326">
        <v>259230</v>
      </c>
      <c r="D11" s="326" t="s">
        <v>1726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1727</v>
      </c>
      <c r="C12" s="326">
        <v>370705</v>
      </c>
      <c r="D12" s="326"/>
      <c r="E12" s="326" t="s">
        <v>543</v>
      </c>
      <c r="F12" s="326" t="s">
        <v>144</v>
      </c>
      <c r="G12" s="326" t="s">
        <v>1718</v>
      </c>
    </row>
    <row r="13" spans="2:8">
      <c r="B13" s="326" t="s">
        <v>1728</v>
      </c>
      <c r="C13" s="326">
        <v>258542</v>
      </c>
      <c r="D13" s="326" t="s">
        <v>1729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1730</v>
      </c>
      <c r="C14" s="326">
        <v>257050</v>
      </c>
      <c r="D14" s="326" t="s">
        <v>1731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490" sqref="A490:U5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1732</v>
      </c>
      <c r="W1" s="391"/>
      <c r="X1" s="391"/>
      <c r="Y1" s="104"/>
    </row>
    <row r="2" spans="1:25" s="101" customFormat="1" ht="11.25" customHeight="1">
      <c r="A2" s="105" t="s">
        <v>1733</v>
      </c>
      <c r="B2" s="105" t="s">
        <v>1734</v>
      </c>
      <c r="C2" s="105" t="s">
        <v>313</v>
      </c>
      <c r="D2" s="106" t="s">
        <v>874</v>
      </c>
      <c r="E2" s="106" t="s">
        <v>875</v>
      </c>
      <c r="F2" s="106" t="s">
        <v>1735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1736</v>
      </c>
      <c r="U2" s="108" t="s">
        <v>877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944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1500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944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30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15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720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1500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944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30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15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720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1500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15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944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30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15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720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1500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30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944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40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0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1500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944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15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720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15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1500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15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1500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30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944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15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40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720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15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1500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30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944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15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720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1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15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1500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30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15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15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720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40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15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1500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1500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944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15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15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720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15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1500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1</v>
      </c>
      <c r="W278" s="112">
        <f ca="1">_xlfn.XLOOKUP(G278&amp;$W$2,BS_CONTROLE[CHAVE],BS_CONTROLE[Quantidade_11],"-")</f>
        <v>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30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944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15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15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944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1</v>
      </c>
      <c r="W303" s="112">
        <f ca="1">_xlfn.XLOOKUP(G303&amp;$W$2,BS_CONTROLE[CHAVE],BS_CONTROLE[Quantidade_11],"-")</f>
        <v>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1500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30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944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15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944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720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1500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1500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30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944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15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1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720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1500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30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944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15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1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1500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15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40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30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944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15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15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1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0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0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1500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1</v>
      </c>
      <c r="W408" s="112">
        <f ca="1">_xlfn.XLOOKUP(G408&amp;$W$2,BS_CONTROLE[CHAVE],BS_CONTROLE[Quantidade_11],"-")</f>
        <v>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30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944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15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15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944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1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720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1500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15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30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15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15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944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0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0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1500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40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720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1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15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30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944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15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1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720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1</v>
      </c>
      <c r="W483" s="112">
        <f ca="1">_xlfn.XLOOKUP(G483&amp;$W$2,BS_CONTROLE[CHAVE],BS_CONTROLE[Quantidade_11],"-")</f>
        <v>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1500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>
        <f ca="1">_xlfn.XLOOKUP(G485&amp;$W$2,BS_CONTROLE[CHAVE],BS_CONTROLE[Quantidade_11],"-")</f>
        <v>15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1</v>
      </c>
      <c r="W487" s="112">
        <f ca="1">_xlfn.XLOOKUP(G487&amp;$W$2,BS_CONTROLE[CHAVE],BS_CONTROLE[Quantidade_11],"-")</f>
        <v>0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1500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30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944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15</v>
      </c>
      <c r="X495" s="112">
        <f ca="1">_xlfn.XLOOKUP(G495&amp;$X$2,BS_CONTROLE[CHAVE],BS_CONTROLE[Quantidade_11],"-")</f>
        <v>0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1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1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0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1</v>
      </c>
      <c r="W510" s="112">
        <f ca="1">_xlfn.XLOOKUP(G510&amp;$W$2,BS_CONTROLE[CHAVE],BS_CONTROLE[Quantidade_11],"-")</f>
        <v>0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720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1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1500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>
        <f ca="1">_xlfn.XLOOKUP(G517&amp;$W$2,BS_CONTROLE[CHAVE],BS_CONTROLE[Quantidade_11],"-")</f>
        <v>15</v>
      </c>
      <c r="X517" s="112">
        <f ca="1">_xlfn.XLOOKUP(G517&amp;$X$2,BS_CONTROLE[CHAVE],BS_CONTROLE[Quantidade_11],"-")</f>
        <v>0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*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*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31" t="str">
        <f>IF(SP_SUL!N523="","*",SP_SUL!N523)</f>
        <v>ZVK2351</v>
      </c>
      <c r="M521" s="111">
        <f>IF(SP_SUL!J523="","*",SP_SUL!J523)</f>
        <v>49</v>
      </c>
      <c r="N521" s="265">
        <f>IF(SP_SUL!K523="","*",SP_SUL!K523)</f>
        <v>232.9</v>
      </c>
      <c r="O521" s="265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944</v>
      </c>
    </row>
    <row r="522" spans="1:24" s="113" customFormat="1" hidden="1">
      <c r="A522" s="109" t="str">
        <f>IF(SP_SUL!Y524="","*",SP_SUL!Y524)</f>
        <v>*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31" t="str">
        <f>IF(SP_SUL!N524="","*",SP_SUL!N524)</f>
        <v>ZVK2351</v>
      </c>
      <c r="M522" s="111">
        <f>IF(SP_SUL!J524="","*",SP_SUL!J524)</f>
        <v>49</v>
      </c>
      <c r="N522" s="265">
        <f>IF(SP_SUL!K524="","*",SP_SUL!K524)</f>
        <v>232.9</v>
      </c>
      <c r="O522" s="265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*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31" t="str">
        <f>IF(SP_SUL!N525="","*",SP_SUL!N525)</f>
        <v>ZYU1</v>
      </c>
      <c r="M523" s="111">
        <f>IF(SP_SUL!J525="","*",SP_SUL!J525)</f>
        <v>49</v>
      </c>
      <c r="N523" s="265">
        <f>IF(SP_SUL!K525="","*",SP_SUL!K525)</f>
        <v>202.4</v>
      </c>
      <c r="O523" s="265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15</v>
      </c>
    </row>
    <row r="524" spans="1:24" s="113" customFormat="1" hidden="1">
      <c r="A524" s="109" t="str">
        <f>IF(SP_SUL!Y526="","*",SP_SUL!Y526)</f>
        <v>*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31" t="str">
        <f>IF(SP_SUL!N526="","*",SP_SUL!N526)</f>
        <v>ZER169</v>
      </c>
      <c r="M524" s="111">
        <f>IF(SP_SUL!J526="","*",SP_SUL!J526)</f>
        <v>56</v>
      </c>
      <c r="N524" s="265">
        <f>IF(SP_SUL!K526="","*",SP_SUL!K526)</f>
        <v>168</v>
      </c>
      <c r="O524" s="265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15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*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31" t="str">
        <f>IF(SP_SUL!N527="","*",SP_SUL!N527)</f>
        <v>102ZKW2</v>
      </c>
      <c r="M525" s="111">
        <f>IF(SP_SUL!J527="","*",SP_SUL!J527)</f>
        <v>55</v>
      </c>
      <c r="N525" s="265">
        <f>IF(SP_SUL!K527="","*",SP_SUL!K527)</f>
        <v>102</v>
      </c>
      <c r="O525" s="265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*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31" t="str">
        <f>IF(SP_SUL!N528="","*",SP_SUL!N528)</f>
        <v>ZEM2</v>
      </c>
      <c r="M526" s="111">
        <f>IF(SP_SUL!J528="","*",SP_SUL!J528)</f>
        <v>55</v>
      </c>
      <c r="N526" s="265">
        <f>IF(SP_SUL!K528="","*",SP_SUL!K528)</f>
        <v>134.4</v>
      </c>
      <c r="O526" s="265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*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31" t="str">
        <f>IF(SP_SUL!N529="","*",SP_SUL!N529)</f>
        <v>144ZMS2</v>
      </c>
      <c r="M527" s="111">
        <f>IF(SP_SUL!J529="","*",SP_SUL!J529)</f>
        <v>55</v>
      </c>
      <c r="N527" s="265">
        <f>IF(SP_SUL!K529="","*",SP_SUL!K529)</f>
        <v>143</v>
      </c>
      <c r="O527" s="265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*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31" t="str">
        <f>IF(SP_SUL!N530="","*",SP_SUL!N530)</f>
        <v>ZRB1502</v>
      </c>
      <c r="M528" s="111">
        <f>IF(SP_SUL!J530="","*",SP_SUL!J530)</f>
        <v>55</v>
      </c>
      <c r="N528" s="265">
        <f>IF(SP_SUL!K530="","*",SP_SUL!K530)</f>
        <v>151.6</v>
      </c>
      <c r="O528" s="265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1" t="str">
        <f>IF(SP_SUL!N532="","*",SP_SUL!N532)</f>
        <v>-</v>
      </c>
      <c r="M530" s="111" t="str">
        <f>IF(SP_SUL!J532="","*",SP_SUL!J532)</f>
        <v>*</v>
      </c>
      <c r="N530" s="265" t="str">
        <f>IF(SP_SUL!K532="","*",SP_SUL!K532)</f>
        <v>*</v>
      </c>
      <c r="O530" s="265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*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31" t="str">
        <f>IF(SP_SUL!N533="","*",SP_SUL!N533)</f>
        <v>ZWI2</v>
      </c>
      <c r="M531" s="111">
        <f>IF(SP_SUL!J533="","*",SP_SUL!J533)</f>
        <v>55</v>
      </c>
      <c r="N531" s="265">
        <f>IF(SP_SUL!K533="","*",SP_SUL!K533)</f>
        <v>118.61799999999999</v>
      </c>
      <c r="O531" s="265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*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31" t="str">
        <f>IF(SP_SUL!N534="","*",SP_SUL!N534)</f>
        <v>121ZWI2</v>
      </c>
      <c r="M532" s="111">
        <f>IF(SP_SUL!J534="","*",SP_SUL!J534)</f>
        <v>55</v>
      </c>
      <c r="N532" s="265">
        <f>IF(SP_SUL!K534="","*",SP_SUL!K534)</f>
        <v>120.521</v>
      </c>
      <c r="O532" s="265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*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31">
        <f>IF(SP_SUL!N535="","*",SP_SUL!N535)</f>
        <v>1231212</v>
      </c>
      <c r="M533" s="111">
        <f>IF(SP_SUL!J535="","*",SP_SUL!J535)</f>
        <v>55</v>
      </c>
      <c r="N533" s="265">
        <f>IF(SP_SUL!K535="","*",SP_SUL!K535)</f>
        <v>121.70699999999999</v>
      </c>
      <c r="O533" s="265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*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31" t="str">
        <f>IF(SP_SUL!N537="","*",SP_SUL!N537)</f>
        <v>ZEVZPG</v>
      </c>
      <c r="M535" s="111">
        <f>IF(SP_SUL!J537="","*",SP_SUL!J537)</f>
        <v>92</v>
      </c>
      <c r="N535" s="265">
        <f>IF(SP_SUL!K537="","*",SP_SUL!K537)</f>
        <v>66</v>
      </c>
      <c r="O535" s="265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1</v>
      </c>
      <c r="W535" s="112">
        <f ca="1">_xlfn.XLOOKUP(G535&amp;$W$2,BS_CONTROLE[CHAVE],BS_CONTROLE[Quantidade_11],"-")</f>
        <v>0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*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31" t="str">
        <f>IF(SP_SUL!N538="","*",SP_SUL!N538)</f>
        <v>K84ZXW2</v>
      </c>
      <c r="M536" s="111">
        <f>IF(SP_SUL!J538="","*",SP_SUL!J538)</f>
        <v>92</v>
      </c>
      <c r="N536" s="265">
        <f>IF(SP_SUL!K538="","*",SP_SUL!K538)</f>
        <v>83.7</v>
      </c>
      <c r="O536" s="265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*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31" t="str">
        <f>IF(SP_SUL!N539="","*",SP_SUL!N539)</f>
        <v>K84ZXW2</v>
      </c>
      <c r="M537" s="111">
        <f>IF(SP_SUL!J539="","*",SP_SUL!J539)</f>
        <v>92</v>
      </c>
      <c r="N537" s="265">
        <f>IF(SP_SUL!K539="","*",SP_SUL!K539)</f>
        <v>83.3</v>
      </c>
      <c r="O537" s="265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*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31" t="str">
        <f>IF(SP_SUL!N540="","*",SP_SUL!N540)</f>
        <v>K84ZXW1</v>
      </c>
      <c r="M538" s="111">
        <f>IF(SP_SUL!J540="","*",SP_SUL!J540)</f>
        <v>54</v>
      </c>
      <c r="N538" s="265">
        <f>IF(SP_SUL!K540="","*",SP_SUL!K540)</f>
        <v>83.7</v>
      </c>
      <c r="O538" s="265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*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31" t="str">
        <f>IF(SP_SUL!N541="","*",SP_SUL!N541)</f>
        <v>ZGP1002</v>
      </c>
      <c r="M539" s="111">
        <f>IF(SP_SUL!J541="","*",SP_SUL!J541)</f>
        <v>92</v>
      </c>
      <c r="N539" s="265">
        <f>IF(SP_SUL!K541="","*",SP_SUL!K541)</f>
        <v>101.7</v>
      </c>
      <c r="O539" s="265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720</v>
      </c>
    </row>
    <row r="540" spans="1:24" s="113" customFormat="1" hidden="1">
      <c r="A540" s="109" t="str">
        <f>IF(SP_SUL!Y542="","*",SP_SUL!Y542)</f>
        <v>*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31" t="str">
        <f>IF(SP_SUL!N542="","*",SP_SUL!N542)</f>
        <v>PAT1102</v>
      </c>
      <c r="M540" s="111">
        <f>IF(SP_SUL!J542="","*",SP_SUL!J542)</f>
        <v>53</v>
      </c>
      <c r="N540" s="265">
        <f>IF(SP_SUL!K542="","*",SP_SUL!K542)</f>
        <v>109.3</v>
      </c>
      <c r="O540" s="265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*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31" t="str">
        <f>IF(SP_SUL!N543="","*",SP_SUL!N543)</f>
        <v>ZGM1</v>
      </c>
      <c r="M541" s="111">
        <f>IF(SP_SUL!J543="","*",SP_SUL!J543)</f>
        <v>30</v>
      </c>
      <c r="N541" s="265">
        <f>IF(SP_SUL!K543="","*",SP_SUL!K543)</f>
        <v>114.3</v>
      </c>
      <c r="O541" s="265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1500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1737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1738</v>
      </c>
      <c r="D5" s="393"/>
      <c r="E5" s="393"/>
      <c r="F5" s="393"/>
      <c r="G5" s="393"/>
      <c r="H5" s="393"/>
      <c r="I5" s="393"/>
      <c r="J5" s="394"/>
      <c r="K5" s="395" t="s">
        <v>1739</v>
      </c>
      <c r="L5" s="396"/>
      <c r="M5" s="396"/>
      <c r="N5" s="396"/>
      <c r="O5" s="397" t="s">
        <v>1740</v>
      </c>
      <c r="P5" s="398"/>
      <c r="Q5" s="399"/>
    </row>
    <row r="6" spans="1:17" s="94" customFormat="1" ht="15.75" customHeight="1">
      <c r="A6" s="88" t="s">
        <v>1735</v>
      </c>
      <c r="B6" s="95" t="s">
        <v>1734</v>
      </c>
      <c r="C6" s="96" t="s">
        <v>874</v>
      </c>
      <c r="D6" s="97" t="s">
        <v>875</v>
      </c>
      <c r="E6" s="96" t="s">
        <v>1741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1742</v>
      </c>
      <c r="M6" s="139" t="s">
        <v>335</v>
      </c>
      <c r="N6" s="140" t="s">
        <v>869</v>
      </c>
      <c r="O6" s="241" t="s">
        <v>912</v>
      </c>
      <c r="P6" s="157"/>
      <c r="Q6" s="193" t="s">
        <v>1743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2</v>
      </c>
      <c r="P471" s="91"/>
      <c r="Q471" s="145" t="str">
        <f>IF($A$2=1,IF(SP_SUL!BJ492="","*",SP_SUL!BJ492),IF(SP_SUL!BK492="","*",SP_SUL!BK492))</f>
        <v>TP pronto 12h17 / Em intervalo das 13h59 até 16h59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autorizado entrada na via 12h26 / Em deslocamento para ZEM.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operador 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Sem oportunidade de faixa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 Sem oportunidade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1</v>
      </c>
      <c r="P488" s="91"/>
      <c r="Q488" s="145" t="str">
        <f>IF($A$2=1,IF(SP_SUL!BJ509="","*",SP_SUL!BJ509),IF(SP_SUL!BK509="","*",SP_SUL!BK509))</f>
        <v>Em intervalo das 13h35 até 15h35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 xml:space="preserve">MC1 07h44 /  previsão de faixa após U58 / cancelado  devido risco de exceder jornada / 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MC1 11h36 / autorizado entrada na via 12h23. Em deslocamento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0</v>
      </c>
      <c r="P493" s="91"/>
      <c r="Q493" s="145" t="str">
        <f>IF($A$2=1,IF(SP_SUL!BJ514="","*",SP_SUL!BJ514),IF(SP_SUL!BK514="","*",SP_SUL!BK514))</f>
        <v>TP não solicitou intervalo.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ZEM1302</v>
      </c>
      <c r="L510" s="141" t="str">
        <f>IF(SP_SUL!AM528="","*",SP_SUL!AM528)</f>
        <v>ZYQ-ZEM</v>
      </c>
      <c r="M510" s="141">
        <f>IF(SP_SUL!AP528="","*",SP_SUL!AP528)</f>
        <v>134.4</v>
      </c>
      <c r="N510" s="141" t="str">
        <f>IF(SP_SUL!AM528="","*",SP_SUL!AM528)</f>
        <v>ZYQ-ZEM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1743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472" sqref="B472:K489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1744</v>
      </c>
      <c r="C2" s="96" t="s">
        <v>859</v>
      </c>
      <c r="D2" s="96" t="s">
        <v>861</v>
      </c>
      <c r="E2" s="96" t="s">
        <v>1745</v>
      </c>
      <c r="F2" s="96" t="s">
        <v>1746</v>
      </c>
      <c r="G2" s="96" t="s">
        <v>1747</v>
      </c>
      <c r="H2" s="96" t="s">
        <v>1748</v>
      </c>
      <c r="I2" s="96" t="s">
        <v>1749</v>
      </c>
      <c r="J2" s="96" t="s">
        <v>1750</v>
      </c>
      <c r="K2" s="131" t="s">
        <v>1751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OPORTUNIDADE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OPORTUNIDADE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OPORTUNIDADE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OPORTUNIDADE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>
      <c r="B472" s="120" t="str">
        <f>IF(SP_SUL!Y496="","*",SP_SUL!Y496)</f>
        <v>OPORTUNIDADE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OPORTUNIDADE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OPORTUNIDADE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SIM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SIM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SIM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SIM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SIM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SIM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OPORTUNIDADE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OPORTUNIDADE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OPORTUNIDADE</v>
      </c>
      <c r="C485" s="121">
        <f>IF(SP_SUL!B509="","*",SP_SUL!B509)</f>
        <v>46013</v>
      </c>
      <c r="D485" s="121" t="str">
        <f>IF(SP_SUL!D509="","*",SP_SUL!D509)</f>
        <v>VALMIR (TF-678)</v>
      </c>
      <c r="E485" s="121" t="str">
        <f>IF(SP_SUL!H509="","*",SP_SUL!H509)</f>
        <v>-</v>
      </c>
      <c r="F485" s="137" t="str">
        <f>IF(SP_SUL!M509="","*",SP_SUL!M509)</f>
        <v>ZEM-ZEJ</v>
      </c>
      <c r="G485" s="121" t="str">
        <f>IF(SP_SUL!I509="","*",SP_SUL!I509)</f>
        <v>-</v>
      </c>
      <c r="H485" s="121" t="str">
        <f>IF(SP_SUL!AB509="","*",SP_SUL!AB509)</f>
        <v>-</v>
      </c>
      <c r="I485" s="121" t="str">
        <f>IF(SP_SUL!AC509="","*",SP_SUL!AC509)</f>
        <v>-</v>
      </c>
      <c r="J485" s="122" t="str">
        <f>IF(SP_SUL!AA509="","*",SP_SUL!AA509)</f>
        <v>-</v>
      </c>
      <c r="K485" s="134" t="str">
        <f>IF(SP_SUL!AD509="","*",SP_SUL!AD509)</f>
        <v>-</v>
      </c>
    </row>
    <row r="486" spans="2:11" s="123" customFormat="1" hidden="1">
      <c r="B486" s="120" t="str">
        <f>IF(SP_SUL!Y510="","*",SP_SUL!Y510)</f>
        <v>OPORTUNIDADE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SIM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>
      <c r="B489" s="120" t="str">
        <f>IF(SP_SUL!Y513="","*",SP_SUL!Y513)</f>
        <v>OPORTUNIDADE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OPORTUNIDADE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OPORTUNIDADE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SIM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SIM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OPORTUNIDADE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>
        <f>IF(SP_SUL!B522="","*",SP_SUL!B522)</f>
        <v>46014</v>
      </c>
      <c r="D498" s="121" t="str">
        <f>IF(SP_SUL!D522="","*",SP_SUL!D522)</f>
        <v>A74</v>
      </c>
      <c r="E498" s="121" t="str">
        <f>IF(SP_SUL!H522="","*",SP_SUL!H522)</f>
        <v>ZQBZBV</v>
      </c>
      <c r="F498" s="137" t="str">
        <f>IF(SP_SUL!M522="","*",SP_SUL!M522)</f>
        <v>ZQBZBV-ZKE</v>
      </c>
      <c r="G498" s="121" t="str">
        <f>IF(SP_SUL!I522="","*",SP_SUL!I522)</f>
        <v>ZKE</v>
      </c>
      <c r="H498" s="121" t="str">
        <f>IF(SP_SUL!AB522="","*",SP_SUL!AB522)</f>
        <v>FIXO</v>
      </c>
      <c r="I498" s="121" t="str">
        <f>IF(SP_SUL!AC522="","*",SP_SUL!AC522)</f>
        <v>ACIONAMENTO</v>
      </c>
      <c r="J498" s="122">
        <f>IF(SP_SUL!AA522="","*",SP_SUL!AA522)</f>
        <v>1</v>
      </c>
      <c r="K498" s="134">
        <f>IF(SP_SUL!AD522="","*",SP_SUL!AD522)</f>
        <v>0.375</v>
      </c>
    </row>
    <row r="499" spans="2:11" s="123" customFormat="1" hidden="1">
      <c r="B499" s="120" t="str">
        <f>IF(SP_SUL!Y523="","*",SP_SUL!Y523)</f>
        <v>*</v>
      </c>
      <c r="C499" s="121">
        <f>IF(SP_SUL!B523="","*",SP_SUL!B523)</f>
        <v>46014</v>
      </c>
      <c r="D499" s="121" t="str">
        <f>IF(SP_SUL!D523="","*",SP_SUL!D523)</f>
        <v>ROGÉRIO (TP-730)</v>
      </c>
      <c r="E499" s="121" t="str">
        <f>IF(SP_SUL!H523="","*",SP_SUL!H523)</f>
        <v>-</v>
      </c>
      <c r="F499" s="137" t="str">
        <f>IF(SP_SUL!M523="","*",SP_SUL!M523)</f>
        <v>ZVK-ZDS</v>
      </c>
      <c r="G499" s="121" t="str">
        <f>IF(SP_SUL!I523="","*",SP_SUL!I523)</f>
        <v>-</v>
      </c>
      <c r="H499" s="121" t="str">
        <f>IF(SP_SUL!AB523="","*",SP_SUL!AB523)</f>
        <v>-</v>
      </c>
      <c r="I499" s="121" t="str">
        <f>IF(SP_SUL!AC523="","*",SP_SUL!AC523)</f>
        <v>*</v>
      </c>
      <c r="J499" s="122" t="str">
        <f>IF(SP_SUL!AA523="","*",SP_SUL!AA523)</f>
        <v>-</v>
      </c>
      <c r="K499" s="134" t="str">
        <f>IF(SP_SUL!AD523="","*",SP_SUL!AD523)</f>
        <v>-</v>
      </c>
    </row>
    <row r="500" spans="2:11" s="123" customFormat="1" hidden="1">
      <c r="B500" s="120" t="str">
        <f>IF(SP_SUL!Y524="","*",SP_SUL!Y524)</f>
        <v>*</v>
      </c>
      <c r="C500" s="121">
        <f>IF(SP_SUL!B524="","*",SP_SUL!B524)</f>
        <v>46014</v>
      </c>
      <c r="D500" s="121" t="str">
        <f>IF(SP_SUL!D524="","*",SP_SUL!D524)</f>
        <v>W59</v>
      </c>
      <c r="E500" s="121" t="str">
        <f>IF(SP_SUL!H524="","*",SP_SUL!H524)</f>
        <v>ZYU1</v>
      </c>
      <c r="F500" s="137" t="str">
        <f>IF(SP_SUL!M524="","*",SP_SUL!M524)</f>
        <v>ZVK-ZDS</v>
      </c>
      <c r="G500" s="121" t="str">
        <f>IF(SP_SUL!I524="","*",SP_SUL!I524)</f>
        <v>ZYU1</v>
      </c>
      <c r="H500" s="121" t="str">
        <f>IF(SP_SUL!AB524="","*",SP_SUL!AB524)</f>
        <v>FIXO + ESCALA</v>
      </c>
      <c r="I500" s="121" t="str">
        <f>IF(SP_SUL!AC524="","*",SP_SUL!AC524)</f>
        <v>AGD ACIONAMENTO PCM</v>
      </c>
      <c r="J500" s="122">
        <f>IF(SP_SUL!AA524="","*",SP_SUL!AA524)</f>
        <v>1</v>
      </c>
      <c r="K500" s="134">
        <f>IF(SP_SUL!AD524="","*",SP_SUL!AD524)</f>
        <v>0.33333333333333331</v>
      </c>
    </row>
    <row r="501" spans="2:11" s="123" customFormat="1" hidden="1">
      <c r="B501" s="120" t="str">
        <f>IF(SP_SUL!Y525="","*",SP_SUL!Y525)</f>
        <v>*</v>
      </c>
      <c r="C501" s="121">
        <f>IF(SP_SUL!B525="","*",SP_SUL!B525)</f>
        <v>46014</v>
      </c>
      <c r="D501" s="121" t="str">
        <f>IF(SP_SUL!D525="","*",SP_SUL!D525)</f>
        <v>ROBSON (TF-701)</v>
      </c>
      <c r="E501" s="121" t="str">
        <f>IF(SP_SUL!H525="","*",SP_SUL!H525)</f>
        <v>-</v>
      </c>
      <c r="F501" s="137" t="str">
        <f>IF(SP_SUL!M525="","*",SP_SUL!M525)</f>
        <v>ZYU</v>
      </c>
      <c r="G501" s="121" t="str">
        <f>IF(SP_SUL!I525="","*",SP_SUL!I525)</f>
        <v>-</v>
      </c>
      <c r="H501" s="121" t="str">
        <f>IF(SP_SUL!AB525="","*",SP_SUL!AB525)</f>
        <v>-</v>
      </c>
      <c r="I501" s="121" t="str">
        <f>IF(SP_SUL!AC525="","*",SP_SUL!AC525)</f>
        <v>-</v>
      </c>
      <c r="J501" s="122" t="str">
        <f>IF(SP_SUL!AA525="","*",SP_SUL!AA525)</f>
        <v>-</v>
      </c>
      <c r="K501" s="134" t="str">
        <f>IF(SP_SUL!AD525="","*",SP_SUL!AD525)</f>
        <v>-</v>
      </c>
    </row>
    <row r="502" spans="2:11" s="123" customFormat="1" hidden="1">
      <c r="B502" s="120" t="str">
        <f>IF(SP_SUL!Y526="","*",SP_SUL!Y526)</f>
        <v>*</v>
      </c>
      <c r="C502" s="121">
        <f>IF(SP_SUL!B526="","*",SP_SUL!B526)</f>
        <v>46014</v>
      </c>
      <c r="D502" s="121" t="str">
        <f>IF(SP_SUL!D526="","*",SP_SUL!D526)</f>
        <v>JOSÉ  (TF-521)</v>
      </c>
      <c r="E502" s="121" t="str">
        <f>IF(SP_SUL!H526="","*",SP_SUL!H526)</f>
        <v>ZER169</v>
      </c>
      <c r="F502" s="137" t="str">
        <f>IF(SP_SUL!M526="","*",SP_SUL!M526)</f>
        <v>ZER-170</v>
      </c>
      <c r="G502" s="121" t="str">
        <f>IF(SP_SUL!I526="","*",SP_SUL!I526)</f>
        <v>-</v>
      </c>
      <c r="H502" s="121" t="str">
        <f>IF(SP_SUL!AB526="","*",SP_SUL!AB526)</f>
        <v>-</v>
      </c>
      <c r="I502" s="121" t="str">
        <f>IF(SP_SUL!AC526="","*",SP_SUL!AC526)</f>
        <v>*</v>
      </c>
      <c r="J502" s="122" t="str">
        <f>IF(SP_SUL!AA526="","*",SP_SUL!AA526)</f>
        <v>-</v>
      </c>
      <c r="K502" s="134" t="str">
        <f>IF(SP_SUL!AD526="","*",SP_SUL!AD526)</f>
        <v>-</v>
      </c>
    </row>
    <row r="503" spans="2:11" s="123" customFormat="1" hidden="1">
      <c r="B503" s="120" t="str">
        <f>IF(SP_SUL!Y527="","*",SP_SUL!Y527)</f>
        <v>*</v>
      </c>
      <c r="C503" s="121">
        <f>IF(SP_SUL!B527="","*",SP_SUL!B527)</f>
        <v>46014</v>
      </c>
      <c r="D503" s="121" t="str">
        <f>IF(SP_SUL!D527="","*",SP_SUL!D527)</f>
        <v>E42</v>
      </c>
      <c r="E503" s="121" t="str">
        <f>IF(SP_SUL!H527="","*",SP_SUL!H527)</f>
        <v>102ZKW2</v>
      </c>
      <c r="F503" s="137" t="str">
        <f>IF(SP_SUL!M527="","*",SP_SUL!M527)</f>
        <v>ZKW</v>
      </c>
      <c r="G503" s="121" t="str">
        <f>IF(SP_SUL!I527="","*",SP_SUL!I527)</f>
        <v>102ZKW</v>
      </c>
      <c r="H503" s="121" t="str">
        <f>IF(SP_SUL!AB527="","*",SP_SUL!AB527)</f>
        <v>FIXO + ESCALA</v>
      </c>
      <c r="I503" s="121" t="str">
        <f>IF(SP_SUL!AC527="","*",SP_SUL!AC527)</f>
        <v>AGD ACIONAMENTO PCM</v>
      </c>
      <c r="J503" s="122">
        <f>IF(SP_SUL!AA527="","*",SP_SUL!AA527)</f>
        <v>2</v>
      </c>
      <c r="K503" s="134">
        <f>IF(SP_SUL!AD527="","*",SP_SUL!AD527)</f>
        <v>0.33333333333333331</v>
      </c>
    </row>
    <row r="504" spans="2:11" s="123" customFormat="1" hidden="1">
      <c r="B504" s="120" t="str">
        <f>IF(SP_SUL!Y528="","*",SP_SUL!Y528)</f>
        <v>*</v>
      </c>
      <c r="C504" s="121">
        <f>IF(SP_SUL!B528="","*",SP_SUL!B528)</f>
        <v>46014</v>
      </c>
      <c r="D504" s="121" t="str">
        <f>IF(SP_SUL!D528="","*",SP_SUL!D528)</f>
        <v>V89</v>
      </c>
      <c r="E504" s="121" t="str">
        <f>IF(SP_SUL!H528="","*",SP_SUL!H528)</f>
        <v>ZEM1302</v>
      </c>
      <c r="F504" s="137" t="str">
        <f>IF(SP_SUL!M528="","*",SP_SUL!M528)</f>
        <v>ZYQ-ZEM</v>
      </c>
      <c r="G504" s="121" t="str">
        <f>IF(SP_SUL!I528="","*",SP_SUL!I528)</f>
        <v>ZEM1302</v>
      </c>
      <c r="H504" s="121" t="str">
        <f>IF(SP_SUL!AB528="","*",SP_SUL!AB528)</f>
        <v>FIXO</v>
      </c>
      <c r="I504" s="121" t="str">
        <f>IF(SP_SUL!AC528="","*",SP_SUL!AC528)</f>
        <v>ACIONAMENTO</v>
      </c>
      <c r="J504" s="122">
        <f>IF(SP_SUL!AA528="","*",SP_SUL!AA528)</f>
        <v>1</v>
      </c>
      <c r="K504" s="134">
        <f>IF(SP_SUL!AD528="","*",SP_SUL!AD528)</f>
        <v>0.33333333333333331</v>
      </c>
    </row>
    <row r="505" spans="2:11" s="123" customFormat="1" hidden="1">
      <c r="B505" s="120" t="str">
        <f>IF(SP_SUL!Y529="","*",SP_SUL!Y529)</f>
        <v>*</v>
      </c>
      <c r="C505" s="121">
        <f>IF(SP_SUL!B529="","*",SP_SUL!B529)</f>
        <v>46014</v>
      </c>
      <c r="D505" s="121" t="str">
        <f>IF(SP_SUL!D529="","*",SP_SUL!D529)</f>
        <v>DIEGO (TP-681)</v>
      </c>
      <c r="E505" s="121" t="str">
        <f>IF(SP_SUL!H529="","*",SP_SUL!H529)</f>
        <v>-</v>
      </c>
      <c r="F505" s="137" t="str">
        <f>IF(SP_SUL!M529="","*",SP_SUL!M529)</f>
        <v>ZEM-ZEJ</v>
      </c>
      <c r="G505" s="121" t="str">
        <f>IF(SP_SUL!I529="","*",SP_SUL!I529)</f>
        <v>-</v>
      </c>
      <c r="H505" s="121" t="str">
        <f>IF(SP_SUL!AB529="","*",SP_SUL!AB529)</f>
        <v>-</v>
      </c>
      <c r="I505" s="121" t="str">
        <f>IF(SP_SUL!AC529="","*",SP_SUL!AC529)</f>
        <v>*</v>
      </c>
      <c r="J505" s="122" t="str">
        <f>IF(SP_SUL!AA529="","*",SP_SUL!AA529)</f>
        <v>-</v>
      </c>
      <c r="K505" s="134" t="str">
        <f>IF(SP_SUL!AD529="","*",SP_SUL!AD529)</f>
        <v>-</v>
      </c>
    </row>
    <row r="506" spans="2:11" s="123" customFormat="1" hidden="1">
      <c r="B506" s="120" t="str">
        <f>IF(SP_SUL!Y530="","*",SP_SUL!Y530)</f>
        <v>*</v>
      </c>
      <c r="C506" s="121">
        <f>IF(SP_SUL!B530="","*",SP_SUL!B530)</f>
        <v>46014</v>
      </c>
      <c r="D506" s="121" t="str">
        <f>IF(SP_SUL!D530="","*",SP_SUL!D530)</f>
        <v>W60</v>
      </c>
      <c r="E506" s="121" t="str">
        <f>IF(SP_SUL!H530="","*",SP_SUL!H530)</f>
        <v>ZEM1302</v>
      </c>
      <c r="F506" s="137" t="str">
        <f>IF(SP_SUL!M530="","*",SP_SUL!M530)</f>
        <v>ZEJ-ZEV</v>
      </c>
      <c r="G506" s="121" t="str">
        <f>IF(SP_SUL!I530="","*",SP_SUL!I530)</f>
        <v>ZEM1302</v>
      </c>
      <c r="H506" s="121" t="str">
        <f>IF(SP_SUL!AB530="","*",SP_SUL!AB530)</f>
        <v>FIXO</v>
      </c>
      <c r="I506" s="121" t="str">
        <f>IF(SP_SUL!AC530="","*",SP_SUL!AC530)</f>
        <v>ACIONAMENTO</v>
      </c>
      <c r="J506" s="122" t="str">
        <f>IF(SP_SUL!AA530="","*",SP_SUL!AA530)</f>
        <v>2 (Allan + Danilo)</v>
      </c>
      <c r="K506" s="134">
        <f>IF(SP_SUL!AD530="","*",SP_SUL!AD530)</f>
        <v>0.33333333333333331</v>
      </c>
    </row>
    <row r="507" spans="2:11" s="123" customFormat="1" hidden="1">
      <c r="B507" s="120" t="str">
        <f>IF(SP_SUL!Y531="","*",SP_SUL!Y531)</f>
        <v>*</v>
      </c>
      <c r="C507" s="121" t="str">
        <f>IF(SP_SUL!B531="","*",SP_SUL!B531)</f>
        <v>*</v>
      </c>
      <c r="D507" s="121" t="str">
        <f>IF(SP_SUL!D531="","*",SP_SUL!D531)</f>
        <v>*</v>
      </c>
      <c r="E507" s="121" t="str">
        <f>IF(SP_SUL!H531="","*",SP_SUL!H531)</f>
        <v>*</v>
      </c>
      <c r="F507" s="137" t="str">
        <f>IF(SP_SUL!M531="","*",SP_SUL!M531)</f>
        <v>-</v>
      </c>
      <c r="G507" s="121" t="str">
        <f>IF(SP_SUL!I531="","*",SP_SUL!I531)</f>
        <v>*</v>
      </c>
      <c r="H507" s="121" t="str">
        <f>IF(SP_SUL!AB531="","*",SP_SUL!AB531)</f>
        <v>*</v>
      </c>
      <c r="I507" s="121" t="str">
        <f>IF(SP_SUL!AC531="","*",SP_SUL!AC531)</f>
        <v>*</v>
      </c>
      <c r="J507" s="122" t="str">
        <f>IF(SP_SUL!AA531="","*",SP_SUL!AA531)</f>
        <v>*</v>
      </c>
      <c r="K507" s="134" t="str">
        <f>IF(SP_SUL!AD531="","*",SP_SUL!AD531)</f>
        <v>*</v>
      </c>
    </row>
    <row r="508" spans="2:11" s="123" customFormat="1" hidden="1">
      <c r="B508" s="120" t="str">
        <f>IF(SP_SUL!Y532="","*",SP_SUL!Y532)</f>
        <v>*</v>
      </c>
      <c r="C508" s="121" t="str">
        <f>IF(SP_SUL!B532="","*",SP_SUL!B532)</f>
        <v>*</v>
      </c>
      <c r="D508" s="121" t="str">
        <f>IF(SP_SUL!D532="","*",SP_SUL!D532)</f>
        <v>*</v>
      </c>
      <c r="E508" s="121" t="str">
        <f>IF(SP_SUL!H532="","*",SP_SUL!H532)</f>
        <v>*</v>
      </c>
      <c r="F508" s="137" t="str">
        <f>IF(SP_SUL!M532="","*",SP_SUL!M532)</f>
        <v>-</v>
      </c>
      <c r="G508" s="121" t="str">
        <f>IF(SP_SUL!I532="","*",SP_SUL!I532)</f>
        <v>*</v>
      </c>
      <c r="H508" s="121" t="str">
        <f>IF(SP_SUL!AB532="","*",SP_SUL!AB532)</f>
        <v>*</v>
      </c>
      <c r="I508" s="121" t="str">
        <f>IF(SP_SUL!AC532="","*",SP_SUL!AC532)</f>
        <v>*</v>
      </c>
      <c r="J508" s="122" t="str">
        <f>IF(SP_SUL!AA532="","*",SP_SUL!AA532)</f>
        <v>*</v>
      </c>
      <c r="K508" s="134" t="str">
        <f>IF(SP_SUL!AD532="","*",SP_SUL!AD532)</f>
        <v>*</v>
      </c>
    </row>
    <row r="509" spans="2:11" s="123" customFormat="1" hidden="1">
      <c r="B509" s="120" t="str">
        <f>IF(SP_SUL!Y533="","*",SP_SUL!Y533)</f>
        <v>*</v>
      </c>
      <c r="C509" s="121">
        <f>IF(SP_SUL!B533="","*",SP_SUL!B533)</f>
        <v>46014</v>
      </c>
      <c r="D509" s="121" t="str">
        <f>IF(SP_SUL!D533="","*",SP_SUL!D533)</f>
        <v>DANILO (TP-837)</v>
      </c>
      <c r="E509" s="121" t="str">
        <f>IF(SP_SUL!H533="","*",SP_SUL!H533)</f>
        <v>-</v>
      </c>
      <c r="F509" s="137" t="str">
        <f>IF(SP_SUL!M533="","*",SP_SUL!M533)</f>
        <v>ZLU-ZWI</v>
      </c>
      <c r="G509" s="121" t="str">
        <f>IF(SP_SUL!I533="","*",SP_SUL!I533)</f>
        <v>*</v>
      </c>
      <c r="H509" s="121" t="str">
        <f>IF(SP_SUL!AB533="","*",SP_SUL!AB533)</f>
        <v>-</v>
      </c>
      <c r="I509" s="121" t="str">
        <f>IF(SP_SUL!AC533="","*",SP_SUL!AC533)</f>
        <v>-</v>
      </c>
      <c r="J509" s="122" t="str">
        <f>IF(SP_SUL!AA533="","*",SP_SUL!AA533)</f>
        <v>-</v>
      </c>
      <c r="K509" s="134" t="str">
        <f>IF(SP_SUL!AD533="","*",SP_SUL!AD533)</f>
        <v>-</v>
      </c>
    </row>
    <row r="510" spans="2:11" s="123" customFormat="1" hidden="1">
      <c r="B510" s="120" t="str">
        <f>IF(SP_SUL!Y534="","*",SP_SUL!Y534)</f>
        <v>*</v>
      </c>
      <c r="C510" s="121">
        <f>IF(SP_SUL!B534="","*",SP_SUL!B534)</f>
        <v>46014</v>
      </c>
      <c r="D510" s="121" t="str">
        <f>IF(SP_SUL!D534="","*",SP_SUL!D534)</f>
        <v>WALTER (TP-810)</v>
      </c>
      <c r="E510" s="121" t="str">
        <f>IF(SP_SUL!H534="","*",SP_SUL!H534)</f>
        <v>*</v>
      </c>
      <c r="F510" s="137" t="str">
        <f>IF(SP_SUL!M534="","*",SP_SUL!M534)</f>
        <v>ZWI-ZYQ</v>
      </c>
      <c r="G510" s="121" t="str">
        <f>IF(SP_SUL!I534="","*",SP_SUL!I534)</f>
        <v>*</v>
      </c>
      <c r="H510" s="121" t="str">
        <f>IF(SP_SUL!AB534="","*",SP_SUL!AB534)</f>
        <v>-</v>
      </c>
      <c r="I510" s="121" t="str">
        <f>IF(SP_SUL!AC534="","*",SP_SUL!AC534)</f>
        <v>*</v>
      </c>
      <c r="J510" s="122" t="str">
        <f>IF(SP_SUL!AA534="","*",SP_SUL!AA534)</f>
        <v>-</v>
      </c>
      <c r="K510" s="134" t="str">
        <f>IF(SP_SUL!AD534="","*",SP_SUL!AD534)</f>
        <v>-</v>
      </c>
    </row>
    <row r="511" spans="2:11" s="123" customFormat="1" hidden="1">
      <c r="B511" s="120" t="str">
        <f>IF(SP_SUL!Y535="","*",SP_SUL!Y535)</f>
        <v>*</v>
      </c>
      <c r="C511" s="121">
        <f>IF(SP_SUL!B535="","*",SP_SUL!B535)</f>
        <v>46014</v>
      </c>
      <c r="D511" s="121" t="str">
        <f>IF(SP_SUL!D535="","*",SP_SUL!D535)</f>
        <v>CAIQUE (TP-869)</v>
      </c>
      <c r="E511" s="121" t="str">
        <f>IF(SP_SUL!H535="","*",SP_SUL!H535)</f>
        <v>*</v>
      </c>
      <c r="F511" s="137" t="str">
        <f>IF(SP_SUL!M535="","*",SP_SUL!M535)</f>
        <v>ZWI-ZYQ</v>
      </c>
      <c r="G511" s="121" t="str">
        <f>IF(SP_SUL!I535="","*",SP_SUL!I535)</f>
        <v>*</v>
      </c>
      <c r="H511" s="121" t="str">
        <f>IF(SP_SUL!AB535="","*",SP_SUL!AB535)</f>
        <v>-</v>
      </c>
      <c r="I511" s="121" t="str">
        <f>IF(SP_SUL!AC535="","*",SP_SUL!AC535)</f>
        <v>-</v>
      </c>
      <c r="J511" s="122" t="str">
        <f>IF(SP_SUL!AA535="","*",SP_SUL!AA535)</f>
        <v>-</v>
      </c>
      <c r="K511" s="134" t="str">
        <f>IF(SP_SUL!AD535="","*",SP_SUL!AD535)</f>
        <v>-</v>
      </c>
    </row>
    <row r="512" spans="2:11" s="123" customFormat="1" hidden="1">
      <c r="B512" s="120" t="str">
        <f>IF(SP_SUL!Y536="","*",SP_SUL!Y536)</f>
        <v>*</v>
      </c>
      <c r="C512" s="121" t="str">
        <f>IF(SP_SUL!B536="","*",SP_SUL!B536)</f>
        <v>*</v>
      </c>
      <c r="D512" s="121" t="str">
        <f>IF(SP_SUL!D536="","*",SP_SUL!D536)</f>
        <v>*</v>
      </c>
      <c r="E512" s="121" t="str">
        <f>IF(SP_SUL!H536="","*",SP_SUL!H536)</f>
        <v>*</v>
      </c>
      <c r="F512" s="137" t="str">
        <f>IF(SP_SUL!M536="","*",SP_SUL!M536)</f>
        <v>-</v>
      </c>
      <c r="G512" s="121" t="str">
        <f>IF(SP_SUL!I536="","*",SP_SUL!I536)</f>
        <v>*</v>
      </c>
      <c r="H512" s="121" t="str">
        <f>IF(SP_SUL!AB536="","*",SP_SUL!AB536)</f>
        <v>*</v>
      </c>
      <c r="I512" s="121" t="str">
        <f>IF(SP_SUL!AC536="","*",SP_SUL!AC536)</f>
        <v>*</v>
      </c>
      <c r="J512" s="122" t="str">
        <f>IF(SP_SUL!AA536="","*",SP_SUL!AA536)</f>
        <v>*</v>
      </c>
      <c r="K512" s="134" t="str">
        <f>IF(SP_SUL!AD536="","*",SP_SUL!AD536)</f>
        <v>*</v>
      </c>
    </row>
    <row r="513" spans="2:11" s="123" customFormat="1" hidden="1">
      <c r="B513" s="120" t="str">
        <f>IF(SP_SUL!Y537="","*",SP_SUL!Y537)</f>
        <v>*</v>
      </c>
      <c r="C513" s="121">
        <f>IF(SP_SUL!B537="","*",SP_SUL!B537)</f>
        <v>46014</v>
      </c>
      <c r="D513" s="121" t="str">
        <f>IF(SP_SUL!D537="","*",SP_SUL!D537)</f>
        <v>V98</v>
      </c>
      <c r="E513" s="121" t="str">
        <f>IF(SP_SUL!H537="","*",SP_SUL!H537)</f>
        <v>ZEV2</v>
      </c>
      <c r="F513" s="137" t="str">
        <f>IF(SP_SUL!M537="","*",SP_SUL!M537)</f>
        <v>ZEV-ZPG</v>
      </c>
      <c r="G513" s="121" t="str">
        <f>IF(SP_SUL!I537="","*",SP_SUL!I537)</f>
        <v>ZPG</v>
      </c>
      <c r="H513" s="121" t="str">
        <f>IF(SP_SUL!AB537="","*",SP_SUL!AB537)</f>
        <v>FIXO</v>
      </c>
      <c r="I513" s="121" t="str">
        <f>IF(SP_SUL!AC537="","*",SP_SUL!AC537)</f>
        <v>ACIONAMENTO</v>
      </c>
      <c r="J513" s="122">
        <f>IF(SP_SUL!AA537="","*",SP_SUL!AA537)</f>
        <v>1</v>
      </c>
      <c r="K513" s="134">
        <f>IF(SP_SUL!AD537="","*",SP_SUL!AD537)</f>
        <v>0.29166666666666669</v>
      </c>
    </row>
    <row r="514" spans="2:11" s="123" customFormat="1" hidden="1">
      <c r="B514" s="120" t="str">
        <f>IF(SP_SUL!Y538="","*",SP_SUL!Y538)</f>
        <v>*</v>
      </c>
      <c r="C514" s="121">
        <f>IF(SP_SUL!B538="","*",SP_SUL!B538)</f>
        <v>46014</v>
      </c>
      <c r="D514" s="121" t="str">
        <f>IF(SP_SUL!D538="","*",SP_SUL!D538)</f>
        <v>W61</v>
      </c>
      <c r="E514" s="121" t="str">
        <f>IF(SP_SUL!H538="","*",SP_SUL!H538)</f>
        <v>K67ZEV1</v>
      </c>
      <c r="F514" s="137" t="str">
        <f>IF(SP_SUL!M538="","*",SP_SUL!M538)</f>
        <v>ZEV-ZXW</v>
      </c>
      <c r="G514" s="121" t="str">
        <f>IF(SP_SUL!I538="","*",SP_SUL!I538)</f>
        <v>K67ZEV1</v>
      </c>
      <c r="H514" s="121" t="str">
        <f>IF(SP_SUL!AB538="","*",SP_SUL!AB538)</f>
        <v>FIXO</v>
      </c>
      <c r="I514" s="121" t="str">
        <f>IF(SP_SUL!AC538="","*",SP_SUL!AC538)</f>
        <v>ACIONAMENTO</v>
      </c>
      <c r="J514" s="122">
        <f>IF(SP_SUL!AA538="","*",SP_SUL!AA538)</f>
        <v>1</v>
      </c>
      <c r="K514" s="134">
        <f>IF(SP_SUL!AD538="","*",SP_SUL!AD538)</f>
        <v>0.27083333333333331</v>
      </c>
    </row>
    <row r="515" spans="2:11" s="123" customFormat="1" hidden="1">
      <c r="B515" s="120" t="str">
        <f>IF(SP_SUL!Y539="","*",SP_SUL!Y539)</f>
        <v>*</v>
      </c>
      <c r="C515" s="121">
        <f>IF(SP_SUL!B539="","*",SP_SUL!B539)</f>
        <v>46014</v>
      </c>
      <c r="D515" s="121" t="str">
        <f>IF(SP_SUL!D539="","*",SP_SUL!D539)</f>
        <v>ANTONI  (TP-720)</v>
      </c>
      <c r="E515" s="121" t="str">
        <f>IF(SP_SUL!H539="","*",SP_SUL!H539)</f>
        <v>-</v>
      </c>
      <c r="F515" s="137" t="str">
        <f>IF(SP_SUL!M539="","*",SP_SUL!M539)</f>
        <v>ZXW</v>
      </c>
      <c r="G515" s="121" t="str">
        <f>IF(SP_SUL!I539="","*",SP_SUL!I539)</f>
        <v>*</v>
      </c>
      <c r="H515" s="121" t="str">
        <f>IF(SP_SUL!AB539="","*",SP_SUL!AB539)</f>
        <v>-</v>
      </c>
      <c r="I515" s="121" t="str">
        <f>IF(SP_SUL!AC539="","*",SP_SUL!AC539)</f>
        <v>-</v>
      </c>
      <c r="J515" s="122" t="str">
        <f>IF(SP_SUL!AA539="","*",SP_SUL!AA539)</f>
        <v>-</v>
      </c>
      <c r="K515" s="134" t="str">
        <f>IF(SP_SUL!AD539="","*",SP_SUL!AD539)</f>
        <v>-</v>
      </c>
    </row>
    <row r="516" spans="2:11" s="123" customFormat="1" hidden="1">
      <c r="B516" s="120" t="str">
        <f>IF(SP_SUL!Y540="","*",SP_SUL!Y540)</f>
        <v>*</v>
      </c>
      <c r="C516" s="121">
        <f>IF(SP_SUL!B540="","*",SP_SUL!B540)</f>
        <v>46014</v>
      </c>
      <c r="D516" s="121" t="str">
        <f>IF(SP_SUL!D540="","*",SP_SUL!D540)</f>
        <v>W62</v>
      </c>
      <c r="E516" s="121" t="str">
        <f>IF(SP_SUL!H540="","*",SP_SUL!H540)</f>
        <v>ZPT1051</v>
      </c>
      <c r="F516" s="137" t="str">
        <f>IF(SP_SUL!M540="","*",SP_SUL!M540)</f>
        <v>ZPT-ZXW</v>
      </c>
      <c r="G516" s="121" t="str">
        <f>IF(SP_SUL!I540="","*",SP_SUL!I540)</f>
        <v>ZPTZDR</v>
      </c>
      <c r="H516" s="121" t="str">
        <f>IF(SP_SUL!AB540="","*",SP_SUL!AB540)</f>
        <v>FIXO</v>
      </c>
      <c r="I516" s="121" t="str">
        <f>IF(SP_SUL!AC540="","*",SP_SUL!AC540)</f>
        <v>ACIONAMENTO</v>
      </c>
      <c r="J516" s="122">
        <f>IF(SP_SUL!AA540="","*",SP_SUL!AA540)</f>
        <v>1</v>
      </c>
      <c r="K516" s="134">
        <f>IF(SP_SUL!AD540="","*",SP_SUL!AD540)</f>
        <v>0.27083333333333331</v>
      </c>
    </row>
    <row r="517" spans="2:11" s="123" customFormat="1" hidden="1">
      <c r="B517" s="120" t="str">
        <f>IF(SP_SUL!Y541="","*",SP_SUL!Y541)</f>
        <v>*</v>
      </c>
      <c r="C517" s="121">
        <f>IF(SP_SUL!B541="","*",SP_SUL!B541)</f>
        <v>46014</v>
      </c>
      <c r="D517" s="121" t="str">
        <f>IF(SP_SUL!D541="","*",SP_SUL!D541)</f>
        <v>EDSON (TP-719)</v>
      </c>
      <c r="E517" s="121" t="str">
        <f>IF(SP_SUL!H541="","*",SP_SUL!H541)</f>
        <v>-</v>
      </c>
      <c r="F517" s="137" t="str">
        <f>IF(SP_SUL!M541="","*",SP_SUL!M541)</f>
        <v>ZGP-ZWU</v>
      </c>
      <c r="G517" s="121" t="str">
        <f>IF(SP_SUL!I541="","*",SP_SUL!I541)</f>
        <v>-</v>
      </c>
      <c r="H517" s="121" t="str">
        <f>IF(SP_SUL!AB541="","*",SP_SUL!AB541)</f>
        <v>*</v>
      </c>
      <c r="I517" s="121" t="str">
        <f>IF(SP_SUL!AC541="","*",SP_SUL!AC541)</f>
        <v>-</v>
      </c>
      <c r="J517" s="122" t="str">
        <f>IF(SP_SUL!AA541="","*",SP_SUL!AA541)</f>
        <v>-</v>
      </c>
      <c r="K517" s="134" t="str">
        <f>IF(SP_SUL!AD541="","*",SP_SUL!AD541)</f>
        <v>-</v>
      </c>
    </row>
    <row r="518" spans="2:11" s="123" customFormat="1" hidden="1">
      <c r="B518" s="120" t="str">
        <f>IF(SP_SUL!Y542="","*",SP_SUL!Y542)</f>
        <v>*</v>
      </c>
      <c r="C518" s="121">
        <f>IF(SP_SUL!B542="","*",SP_SUL!B542)</f>
        <v>46014</v>
      </c>
      <c r="D518" s="121" t="str">
        <f>IF(SP_SUL!D542="","*",SP_SUL!D542)</f>
        <v>JACIANO (TF-674)</v>
      </c>
      <c r="E518" s="121" t="str">
        <f>IF(SP_SUL!H542="","*",SP_SUL!H542)</f>
        <v>-</v>
      </c>
      <c r="F518" s="137" t="str">
        <f>IF(SP_SUL!M542="","*",SP_SUL!M542)</f>
        <v>PAT-ZGM</v>
      </c>
      <c r="G518" s="121" t="str">
        <f>IF(SP_SUL!I542="","*",SP_SUL!I542)</f>
        <v>-</v>
      </c>
      <c r="H518" s="121" t="str">
        <f>IF(SP_SUL!AB542="","*",SP_SUL!AB542)</f>
        <v>FIXO</v>
      </c>
      <c r="I518" s="121" t="str">
        <f>IF(SP_SUL!AC542="","*",SP_SUL!AC542)</f>
        <v>ACIONAMENTO</v>
      </c>
      <c r="J518" s="122">
        <f>IF(SP_SUL!AA542="","*",SP_SUL!AA542)</f>
        <v>1</v>
      </c>
      <c r="K518" s="134">
        <f>IF(SP_SUL!AD542="","*",SP_SUL!AD542)</f>
        <v>0.33333333333333331</v>
      </c>
    </row>
    <row r="519" spans="2:11" s="123" customFormat="1" hidden="1">
      <c r="B519" s="120" t="str">
        <f>IF(SP_SUL!Y543="","*",SP_SUL!Y543)</f>
        <v>*</v>
      </c>
      <c r="C519" s="121">
        <f>IF(SP_SUL!B543="","*",SP_SUL!B543)</f>
        <v>46014</v>
      </c>
      <c r="D519" s="121" t="str">
        <f>IF(SP_SUL!D543="","*",SP_SUL!D543)</f>
        <v>V85</v>
      </c>
      <c r="E519" s="121" t="str">
        <f>IF(SP_SUL!H543="","*",SP_SUL!H543)</f>
        <v>109ZPT2</v>
      </c>
      <c r="F519" s="137" t="str">
        <f>IF(SP_SUL!M543="","*",SP_SUL!M543)</f>
        <v>ZGM1</v>
      </c>
      <c r="G519" s="121" t="str">
        <f>IF(SP_SUL!I543="","*",SP_SUL!I543)</f>
        <v>ZPTZDR</v>
      </c>
      <c r="H519" s="121" t="str">
        <f>IF(SP_SUL!AB543="","*",SP_SUL!AB543)</f>
        <v>*</v>
      </c>
      <c r="I519" s="121" t="str">
        <f>IF(SP_SUL!AC543="","*",SP_SUL!AC543)</f>
        <v>*</v>
      </c>
      <c r="J519" s="122" t="str">
        <f>IF(SP_SUL!AA543="","*",SP_SUL!AA543)</f>
        <v>*</v>
      </c>
      <c r="K519" s="134" t="str">
        <f>IF(SP_SUL!AD543="","*",SP_SUL!AD543)</f>
        <v>*</v>
      </c>
    </row>
    <row r="520" spans="2:11" s="123" customFormat="1" hidden="1">
      <c r="B520" s="120" t="str">
        <f>IF(SP_SUL!Y543="","*",SP_SUL!Y543)</f>
        <v>*</v>
      </c>
      <c r="C520" s="121">
        <f>IF(SP_SUL!B543="","*",SP_SUL!B543)</f>
        <v>46014</v>
      </c>
      <c r="D520" s="121" t="str">
        <f>IF(SP_SUL!D543="","*",SP_SUL!D543)</f>
        <v>V85</v>
      </c>
      <c r="E520" s="121" t="str">
        <f>IF(SP_SUL!H543="","*",SP_SUL!H543)</f>
        <v>109ZPT2</v>
      </c>
      <c r="F520" s="137" t="str">
        <f>IF(SP_SUL!M543="","*",SP_SUL!M543)</f>
        <v>ZGM1</v>
      </c>
      <c r="G520" s="121" t="str">
        <f>IF(SP_SUL!I543="","*",SP_SUL!I543)</f>
        <v>ZPTZDR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2025-12-22T17:14:40Z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