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83" documentId="120_S{118792C3-22EF-5104-A093-F22BFE3913F3}" xr6:coauthVersionLast="47" xr6:coauthVersionMax="47" xr10:uidLastSave="{BE45B283-7220-4596-AC99-6E7B43514F1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 a="1"/>
  <c r="N48" i="1" s="1"/>
  <c r="M48" i="1" a="1"/>
  <c r="M48" i="1" s="1"/>
  <c r="A48" i="1"/>
  <c r="C48" i="1"/>
  <c r="G48" i="1"/>
  <c r="R48" i="1"/>
  <c r="S48" i="1" a="1"/>
  <c r="S48" i="1"/>
  <c r="T48" i="1" a="1"/>
  <c r="T48" i="1"/>
  <c r="U48" i="1" a="1"/>
  <c r="U48" i="1"/>
  <c r="AI48" i="1"/>
  <c r="AJ48" i="1"/>
  <c r="AK48" i="1"/>
  <c r="AL48" i="1"/>
  <c r="AM48" i="1"/>
  <c r="AN48" i="1"/>
  <c r="AO48" i="1"/>
  <c r="AP48" i="1"/>
  <c r="AQ48" i="1"/>
  <c r="AY48" i="1"/>
  <c r="BB48" i="1"/>
  <c r="BC48" i="1" a="1"/>
  <c r="BC48" i="1"/>
  <c r="BD48" i="1" a="1"/>
  <c r="BD48" i="1"/>
  <c r="BE48" i="1" a="1"/>
  <c r="BE48" i="1"/>
  <c r="BF48" i="1"/>
  <c r="BR48" i="1"/>
  <c r="BS48" i="1"/>
  <c r="N52" i="1" a="1"/>
  <c r="N52" i="1" s="1"/>
  <c r="M52" i="1" a="1"/>
  <c r="M52" i="1" s="1"/>
  <c r="N51" i="1" a="1"/>
  <c r="N51" i="1" s="1"/>
  <c r="M51" i="1" a="1"/>
  <c r="M51" i="1" s="1"/>
  <c r="N49" i="1" a="1"/>
  <c r="N49" i="1" s="1"/>
  <c r="M49" i="1" a="1"/>
  <c r="M49" i="1" s="1"/>
  <c r="N46" i="1" a="1"/>
  <c r="N46" i="1" s="1"/>
  <c r="M46" i="1" a="1"/>
  <c r="M46" i="1" s="1"/>
  <c r="N34" i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BB35" i="1" s="1"/>
  <c r="AJ35" i="1"/>
  <c r="AK35" i="1"/>
  <c r="AL35" i="1"/>
  <c r="AM35" i="1"/>
  <c r="AN35" i="1"/>
  <c r="AO35" i="1"/>
  <c r="AP35" i="1"/>
  <c r="AQ35" i="1"/>
  <c r="AY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7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9" i="1"/>
  <c r="C49" i="1"/>
  <c r="K45" i="15"/>
  <c r="L45" i="15"/>
  <c r="R49" i="1"/>
  <c r="R45" i="15" s="1"/>
  <c r="S49" i="1" a="1"/>
  <c r="S49" i="1" s="1"/>
  <c r="D45" i="15" s="1"/>
  <c r="T49" i="1" a="1"/>
  <c r="T49" i="1"/>
  <c r="E45" i="15" s="1"/>
  <c r="U49" i="1" a="1"/>
  <c r="U49" i="1" s="1"/>
  <c r="AI49" i="1"/>
  <c r="BB49" i="1" s="1"/>
  <c r="AJ49" i="1"/>
  <c r="AK49" i="1"/>
  <c r="K41" i="10" s="1"/>
  <c r="AL49" i="1"/>
  <c r="AM49" i="1"/>
  <c r="AO49" i="1"/>
  <c r="AP49" i="1"/>
  <c r="M41" i="10" s="1"/>
  <c r="AQ49" i="1"/>
  <c r="AY49" i="1"/>
  <c r="BE49" i="1" a="1"/>
  <c r="BE49" i="1" s="1"/>
  <c r="BR49" i="1"/>
  <c r="BS49" i="1"/>
  <c r="K46" i="15"/>
  <c r="L46" i="15"/>
  <c r="R46" i="15"/>
  <c r="D46" i="15"/>
  <c r="E46" i="15"/>
  <c r="K42" i="10"/>
  <c r="M42" i="10"/>
  <c r="A50" i="1"/>
  <c r="C50" i="1"/>
  <c r="K47" i="15"/>
  <c r="L47" i="15"/>
  <c r="R50" i="1"/>
  <c r="R47" i="15" s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K48" i="15"/>
  <c r="L48" i="15"/>
  <c r="R51" i="1"/>
  <c r="R48" i="15" s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K49" i="15"/>
  <c r="L49" i="15"/>
  <c r="R52" i="1"/>
  <c r="R49" i="15" s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48" i="1" l="1"/>
  <c r="AN763" i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9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<sst xmlns="http://schemas.openxmlformats.org/spreadsheetml/2006/main" count="3143" uniqueCount="1119">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</sst>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3" headerRowBorderDxfId="191" tableBorderDxfId="192" totalsRowBorderDxfId="190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G34" activePane="topRight" state="frozen"/>
      <selection pane="topRight" activeCell="P50" sqref="P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>
        <v>0.3125</v>
      </c>
      <c r="AS30" s="111">
        <v>0</v>
      </c>
      <c r="AT30" s="111">
        <v>0</v>
      </c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>
        <v>0</v>
      </c>
      <c r="BI30" s="17"/>
      <c r="BJ30" s="17" t="s">
        <v>1007</v>
      </c>
      <c r="BK30" s="17" t="s">
        <v>1007</v>
      </c>
      <c r="BL30" s="16"/>
      <c r="BM30" s="133" t="s">
        <v>408</v>
      </c>
      <c r="BN30" s="133" t="s">
        <v>432</v>
      </c>
      <c r="BO30" s="133" t="s">
        <v>432</v>
      </c>
      <c r="BP30" s="17" t="s">
        <v>1007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>
        <v>0</v>
      </c>
      <c r="AS31" s="111">
        <v>0</v>
      </c>
      <c r="AT31" s="111">
        <v>0</v>
      </c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>
        <v>0</v>
      </c>
      <c r="BI31" s="17"/>
      <c r="BJ31" s="17" t="s">
        <v>1032</v>
      </c>
      <c r="BK31" s="17" t="s">
        <v>1032</v>
      </c>
      <c r="BL31" s="16"/>
      <c r="BM31" s="133" t="s">
        <v>398</v>
      </c>
      <c r="BN31" s="133" t="s">
        <v>418</v>
      </c>
      <c r="BO31" s="133" t="s">
        <v>534</v>
      </c>
      <c r="BP31" s="17" t="s">
        <v>1032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MecanizaçãoOperação</v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1039</v>
      </c>
      <c r="BK33" s="17" t="s">
        <v>1039</v>
      </c>
      <c r="BL33" s="16"/>
      <c r="BM33" s="133" t="s">
        <v>401</v>
      </c>
      <c r="BN33" s="133" t="s">
        <v>421</v>
      </c>
      <c r="BO33" s="133" t="s">
        <v>529</v>
      </c>
      <c r="BP33" s="17" t="s">
        <v>1039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>
        <v>0</v>
      </c>
      <c r="AT34" s="111">
        <v>0</v>
      </c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1040</v>
      </c>
      <c r="BK34" s="17" t="s">
        <v>1040</v>
      </c>
      <c r="BL34" s="16"/>
      <c r="BM34" s="133" t="s">
        <v>401</v>
      </c>
      <c r="BN34" s="133" t="s">
        <v>430</v>
      </c>
      <c r="BO34" s="133" t="s">
        <v>491</v>
      </c>
      <c r="BP34" s="17" t="s">
        <v>1040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>CCOCirculaçãoIntervaloOportunidade</v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0.43125000000000002</v>
      </c>
      <c r="AS35" s="111">
        <v>0.43194444444444446</v>
      </c>
      <c r="AT35" s="111">
        <v>0.47361111111111109</v>
      </c>
      <c r="AU35" s="139"/>
      <c r="AV35" s="139"/>
      <c r="AW35" s="14"/>
      <c r="AX35" s="14"/>
      <c r="AY35" s="203">
        <f>IF(D35="","*",IFERROR(IF(ISODD(COUNT(AS35:AX1035)),"ERRO",SUM((AT35-AS35),(AV35-AU35),(AX35-AW35))),"ERRO"))</f>
        <v>4.166666666666663E-2</v>
      </c>
      <c r="AZ35" s="157"/>
      <c r="BA35" s="112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1043</v>
      </c>
      <c r="BK35" s="17" t="s">
        <v>1043</v>
      </c>
      <c r="BL35" s="16"/>
      <c r="BM35" s="133" t="s">
        <v>406</v>
      </c>
      <c r="BN35" s="133" t="s">
        <v>406</v>
      </c>
      <c r="BO35" s="133" t="s">
        <v>406</v>
      </c>
      <c r="BP35" s="204"/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8" t="str">
        <f t="shared" si="6"/>
        <v>OKOK</v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1047</v>
      </c>
      <c r="BK36" s="17" t="s">
        <v>1047</v>
      </c>
      <c r="BL36" s="16"/>
      <c r="BM36" s="133" t="s">
        <v>401</v>
      </c>
      <c r="BN36" s="133" t="s">
        <v>421</v>
      </c>
      <c r="BO36" s="133" t="s">
        <v>529</v>
      </c>
      <c r="BP36" s="17" t="s">
        <v>1047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1048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1049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>
        <v>0</v>
      </c>
      <c r="AS37" s="111">
        <v>0</v>
      </c>
      <c r="AT37" s="111">
        <v>0</v>
      </c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>
        <v>0</v>
      </c>
      <c r="BI37" s="17"/>
      <c r="BJ37" s="17" t="s">
        <v>1050</v>
      </c>
      <c r="BK37" s="17" t="s">
        <v>1050</v>
      </c>
      <c r="BL37" s="16"/>
      <c r="BM37" s="133" t="s">
        <v>402</v>
      </c>
      <c r="BN37" s="133" t="s">
        <v>431</v>
      </c>
      <c r="BO37" s="133" t="s">
        <v>493</v>
      </c>
      <c r="BP37" s="17" t="s">
        <v>1050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>SuperExecução</v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1051</v>
      </c>
      <c r="N38" s="130" t="s">
        <v>1052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1053</v>
      </c>
      <c r="X38" s="107" t="s">
        <v>382</v>
      </c>
      <c r="Y38" s="132" t="s">
        <v>385</v>
      </c>
      <c r="Z38" s="107"/>
      <c r="AA38" s="108" t="s">
        <v>1054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1055</v>
      </c>
      <c r="BG38" s="16"/>
      <c r="BH38" s="17"/>
      <c r="BI38" s="17"/>
      <c r="BJ38" s="17" t="s">
        <v>1056</v>
      </c>
      <c r="BK38" s="17" t="s">
        <v>1056</v>
      </c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>IF(D43="","*",IFERROR(IF(ISODD(COUNT(AS43:AX1037)),"ERRO",SUM((AT43-AS43),(AV43-AU43),(AX43-AW43))),"ERRO"))</f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>IF(D44="","*",IFERROR(IF(ISODD(COUNT(AS44:AX1038)),"ERRO",SUM((AT44-AS44),(AV44-AU44),(AX44-AW44))),"ERRO"))</f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>IF(D45="","*",IFERROR(IF(ISODD(COUNT(AS45:AX1039)),"ERRO",SUM((AT45-AS45),(AV45-AU45),(AX45-AW45))),"ERRO"))</f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>W5746057</v>
      </c>
      <c r="B46" s="105">
        <v>46057</v>
      </c>
      <c r="C46" s="138">
        <f>IF(BS_CONTROLE[[#This Row],[DATA]]="","",WEEKNUM(BS_CONTROLE[[#This Row],[DATA]]))</f>
        <v>6</v>
      </c>
      <c r="D46" s="107" t="s">
        <v>999</v>
      </c>
      <c r="E46" s="129" t="s">
        <v>747</v>
      </c>
      <c r="F46" s="129" t="s">
        <v>749</v>
      </c>
      <c r="G46" s="146" t="str">
        <f>IF(D46="","*",VLOOKUP(F46,BS_ATIVIDADE[],3,FALSE))</f>
        <v>OUTROS</v>
      </c>
      <c r="H46" s="154" t="s">
        <v>82</v>
      </c>
      <c r="I46" s="154" t="s">
        <v>82</v>
      </c>
      <c r="J46" s="108">
        <v>73</v>
      </c>
      <c r="K46" s="108">
        <v>379</v>
      </c>
      <c r="L46" s="108">
        <v>375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211">
        <v>0.375</v>
      </c>
      <c r="P46" s="109">
        <v>8.3333333333333329E-2</v>
      </c>
      <c r="Q46" s="108">
        <v>700</v>
      </c>
      <c r="R46" s="10" t="str">
        <f>IFERROR(_xlfn.XLOOKUP(F46, BS_ATIVIDADE[ATIVIDADE],BS_ATIVIDADE[UNIDADE] ), "*")</f>
        <v>BINÁRIO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8" t="s">
        <v>1000</v>
      </c>
      <c r="W46" s="108" t="s">
        <v>1001</v>
      </c>
      <c r="X46" s="107" t="s">
        <v>382</v>
      </c>
      <c r="Y46" s="132"/>
      <c r="Z46" s="132"/>
      <c r="AA46" s="108" t="s">
        <v>1002</v>
      </c>
      <c r="AB46" s="106" t="s">
        <v>373</v>
      </c>
      <c r="AC46" s="106" t="s">
        <v>367</v>
      </c>
      <c r="AD46" s="110">
        <v>0.33333333333333331</v>
      </c>
      <c r="AE46" s="108">
        <v>9374</v>
      </c>
      <c r="AF46" s="110" t="s">
        <v>554</v>
      </c>
      <c r="AG46" s="110" t="s">
        <v>554</v>
      </c>
      <c r="AH46" s="15"/>
      <c r="AI46" s="129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8" t="str">
        <f>IF(BS_CONTROLE[[#This Row],[Entre - Estações]]=0, "-", BS_CONTROLE[[#This Row],[Entre - Estações]])</f>
        <v>ZJA-ZUR</v>
      </c>
      <c r="AN46" s="108" t="str">
        <f>IF(BS_CONTROLE[[#This Row],[SB]]=0, "-", BS_CONTROLE[[#This Row],[SB]])</f>
        <v>ZJA-ZUR</v>
      </c>
      <c r="AO46" s="108">
        <f>IF(BS_CONTROLE[[#This Row],[SUB]]=0, "-", BS_CONTROLE[[#This Row],[SUB]])</f>
        <v>73</v>
      </c>
      <c r="AP46" s="108">
        <f>BS_CONTROLE[[#This Row],[KM - Inicio]]</f>
        <v>379</v>
      </c>
      <c r="AQ46" s="108">
        <f>BS_CONTROLE[[#This Row],[KM - Inicio]]</f>
        <v>379</v>
      </c>
      <c r="AR46" s="111"/>
      <c r="AS46" s="111"/>
      <c r="AT46" s="111"/>
      <c r="AU46" s="139"/>
      <c r="AV46" s="139"/>
      <c r="AW46" s="14"/>
      <c r="AX46" s="14"/>
      <c r="AY46" s="186">
        <f>IF(D46="","*",IFERROR(IF(ISODD(COUNT(AS46:AX1040)),"ERRO",SUM((AT46-AS46),(AV46-AU46),(AX46-AW46))),"ERRO"))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 hidden="1">
      <c r="A47" s="47" t="str">
        <f t="shared" si="2"/>
        <v>A6346057</v>
      </c>
      <c r="B47" s="105">
        <v>46057</v>
      </c>
      <c r="C47" s="138">
        <f>IF(BS_CONTROLE[[#This Row],[DATA]]="","",WEEKNUM(BS_CONTROLE[[#This Row],[DATA]]))</f>
        <v>6</v>
      </c>
      <c r="D47" s="107" t="s">
        <v>658</v>
      </c>
      <c r="E47" s="138">
        <f>IF(BS_CONTROLE[[#This Row],[DATA]]="","",WEEKNUM(BS_CONTROLE[[#This Row],[DATA]]))</f>
        <v>6</v>
      </c>
      <c r="F47" s="129" t="s">
        <v>627</v>
      </c>
      <c r="G47" s="146" t="str">
        <f>IF(D47="","*",VLOOKUP(F47,BS_ATIVIDADE[],3,FALSE))</f>
        <v>OUTROS</v>
      </c>
      <c r="H47" s="109" t="s">
        <v>48</v>
      </c>
      <c r="I47" s="109" t="s">
        <v>267</v>
      </c>
      <c r="J47" s="108">
        <v>73</v>
      </c>
      <c r="K47" s="108">
        <v>306</v>
      </c>
      <c r="L47" s="108">
        <v>204</v>
      </c>
      <c r="M47" s="130" t="s">
        <v>1070</v>
      </c>
      <c r="N47" s="130" t="s">
        <v>1071</v>
      </c>
      <c r="O47" s="109">
        <v>0.33333333333333331</v>
      </c>
      <c r="P47" s="109">
        <v>4.1666666666666664E-2</v>
      </c>
      <c r="Q47" s="108">
        <v>1</v>
      </c>
      <c r="R47" s="10" t="str">
        <f>IFERROR(_xlfn.XLOOKUP(F47, BS_ATIVIDADE[ATIVIDADE],BS_ATIVIDADE[UNIDADE] ), "*")</f>
        <v>BINÁRIO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8" t="s">
        <v>1000</v>
      </c>
      <c r="W47" s="108" t="s">
        <v>1030</v>
      </c>
      <c r="X47" s="107" t="s">
        <v>382</v>
      </c>
      <c r="Y47" s="132"/>
      <c r="Z47" s="107"/>
      <c r="AA47" s="200"/>
      <c r="AB47" s="201"/>
      <c r="AC47" s="201"/>
      <c r="AD47" s="202"/>
      <c r="AE47" s="200"/>
      <c r="AF47" s="202"/>
      <c r="AG47" s="212"/>
      <c r="AH47" s="15"/>
      <c r="AI47" s="129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8" t="str">
        <f>IF(BS_CONTROLE[[#This Row],[Entre - Estações]]=0, "-", BS_CONTROLE[[#This Row],[Entre - Estações]])</f>
        <v>ZVP-ZRU</v>
      </c>
      <c r="AN47" s="108" t="str">
        <f>IF(BS_CONTROLE[[#This Row],[SB]]=0, "-", BS_CONTROLE[[#This Row],[SB]])</f>
        <v>ZVPZRU</v>
      </c>
      <c r="AO47" s="108">
        <f>IF(BS_CONTROLE[[#This Row],[SUB]]=0, "-", BS_CONTROLE[[#This Row],[SUB]])</f>
        <v>73</v>
      </c>
      <c r="AP47" s="108">
        <f>BS_CONTROLE[[#This Row],[KM - Inicio]]</f>
        <v>306</v>
      </c>
      <c r="AQ47" s="108">
        <f>BS_CONTROLE[[#This Row],[KM - Inicio]]</f>
        <v>306</v>
      </c>
      <c r="AR47" s="111"/>
      <c r="AS47" s="111"/>
      <c r="AT47" s="111"/>
      <c r="AU47" s="139"/>
      <c r="AV47" s="139"/>
      <c r="AW47" s="14"/>
      <c r="AX47" s="14"/>
      <c r="AY47" s="186">
        <f>IF(D47="","*",IFERROR(IF(ISODD(COUNT(AS47:AX1041)),"ERRO",SUM((AT47-AS47),(AV47-AU47),(AX47-AW47))),"ERRO"))</f>
        <v>0</v>
      </c>
      <c r="AZ47" s="157"/>
      <c r="BA47" s="112"/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259" t="str">
        <f>D48&amp;B48</f>
        <v>V8746057</v>
      </c>
      <c r="B48" s="195">
        <v>46057</v>
      </c>
      <c r="C48" s="138">
        <f>IF(BS_CONTROLE[[#This Row],[DATA]]="","",WEEKNUM(BS_CONTROLE[[#This Row],[DATA]]))</f>
        <v>6</v>
      </c>
      <c r="D48" s="188" t="s">
        <v>760</v>
      </c>
      <c r="E48" s="190" t="s">
        <v>659</v>
      </c>
      <c r="F48" s="260" t="s">
        <v>659</v>
      </c>
      <c r="G48" s="146" t="str">
        <f>IF(D48="","*",VLOOKUP(F48,BS_ATIVIDADE[],3,FALSE))</f>
        <v>MECANIZAÇÃO - SOCADORA</v>
      </c>
      <c r="H48" s="109" t="s">
        <v>43</v>
      </c>
      <c r="I48" s="109" t="s">
        <v>41</v>
      </c>
      <c r="J48" s="108">
        <v>73</v>
      </c>
      <c r="K48" s="108">
        <v>272.2</v>
      </c>
      <c r="L48" s="108">
        <v>271.7</v>
      </c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99">
        <v>0.375</v>
      </c>
      <c r="P48" s="109">
        <v>0.125</v>
      </c>
      <c r="Q48" s="108">
        <v>765</v>
      </c>
      <c r="R48" s="10" t="str">
        <f>IFERROR(_xlfn.XLOOKUP(F48, BS_ATIVIDADE[ATIVIDADE],BS_ATIVIDADE[UNIDADE] ), "*")</f>
        <v>M</v>
      </c>
      <c r="S48" s="26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26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8" t="s">
        <v>991</v>
      </c>
      <c r="W48" s="108" t="s">
        <v>992</v>
      </c>
      <c r="X48" s="107" t="s">
        <v>382</v>
      </c>
      <c r="Y48" s="132"/>
      <c r="Z48" s="107"/>
      <c r="AA48" s="200"/>
      <c r="AB48" s="201"/>
      <c r="AC48" s="201"/>
      <c r="AD48" s="202"/>
      <c r="AE48" s="200"/>
      <c r="AF48" s="202"/>
      <c r="AG48" s="212"/>
      <c r="AH48" s="15"/>
      <c r="AI48" s="262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ZDP2</v>
      </c>
      <c r="AL48" s="31" t="str">
        <f>BS_CONTROLE[[#This Row],[Local - Encerramento]]</f>
        <v>ZDP</v>
      </c>
      <c r="AM48" s="108" t="str">
        <f>IF(BS_CONTROLE[[#This Row],[Entre - Estações]]=0, "-", BS_CONTROLE[[#This Row],[Entre - Estações]])</f>
        <v>ZEC-ZKY</v>
      </c>
      <c r="AN48" s="108" t="str">
        <f>IF(BS_CONTROLE[[#This Row],[SB]]=0, "-", BS_CONTROLE[[#This Row],[SB]])</f>
        <v>271ZKY</v>
      </c>
      <c r="AO48" s="263">
        <f>IF(BS_CONTROLE[[#This Row],[SUB]]=0, "-", BS_CONTROLE[[#This Row],[SUB]])</f>
        <v>73</v>
      </c>
      <c r="AP48" s="108">
        <f>BS_CONTROLE[[#This Row],[KM - Inicio]]</f>
        <v>272.2</v>
      </c>
      <c r="AQ48" s="263">
        <f>BS_CONTROLE[[#This Row],[KM - Inicio]]</f>
        <v>272.2</v>
      </c>
      <c r="AR48" s="111"/>
      <c r="AS48" s="111"/>
      <c r="AT48" s="111"/>
      <c r="AU48" s="139"/>
      <c r="AV48" s="139"/>
      <c r="AW48" s="14"/>
      <c r="AX48" s="14"/>
      <c r="AY48" s="203">
        <f>IF(D48="","*",IFERROR(IF(ISODD(COUNT(AS48:AX1050)),"ERRO",SUM((AT48-AS48),(AV48-AU48),(AX48-AW48))),"ERRO"))</f>
        <v>0</v>
      </c>
      <c r="AZ48" s="157"/>
      <c r="BA48" s="112"/>
      <c r="BB48" s="10" t="str">
        <f>IFERROR(_xlfn.XLOOKUP(AI48, BS_ATIVIDADE[ATIVIDADE],BS_ATIVIDADE[UNIDADE] ), "*")</f>
        <v>M</v>
      </c>
      <c r="BC48" s="26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26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4" t="str">
        <f>BS_CONTROLE[[#This Row],[Responsavel pelo boletim]]</f>
        <v>Antonioni</v>
      </c>
      <c r="BG48" s="16"/>
      <c r="BH48" s="17"/>
      <c r="BI48" s="17"/>
      <c r="BJ48" s="17"/>
      <c r="BK48" s="18"/>
      <c r="BL48" s="16"/>
      <c r="BM48" s="133"/>
      <c r="BN48" s="133"/>
      <c r="BO48" s="133"/>
      <c r="BP48" s="204"/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/>
    </row>
    <row r="49" spans="1:72" hidden="1">
      <c r="A49" s="47" t="str">
        <f t="shared" si="2"/>
        <v>JOVÂNIO (TP-850)46057</v>
      </c>
      <c r="B49" s="105">
        <v>46057</v>
      </c>
      <c r="C49" s="138">
        <f>IF(BS_CONTROLE[[#This Row],[DATA]]="","",WEEKNUM(BS_CONTROLE[[#This Row],[DATA]]))</f>
        <v>6</v>
      </c>
      <c r="D49" s="188" t="s">
        <v>857</v>
      </c>
      <c r="E49" s="190" t="s">
        <v>736</v>
      </c>
      <c r="F49" s="129" t="s">
        <v>736</v>
      </c>
      <c r="G49" s="146" t="str">
        <f>IF(D49="","*",VLOOKUP(F49,BS_ATIVIDADE[],3,FALSE))</f>
        <v>SOLDA</v>
      </c>
      <c r="H49" s="154" t="s">
        <v>554</v>
      </c>
      <c r="I49" s="154" t="s">
        <v>554</v>
      </c>
      <c r="J49" s="108">
        <v>73</v>
      </c>
      <c r="K49" s="108">
        <v>265.7</v>
      </c>
      <c r="L49" s="108" t="s">
        <v>554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99">
        <v>0.375</v>
      </c>
      <c r="P49" s="109">
        <v>6.25E-2</v>
      </c>
      <c r="Q49" s="108">
        <v>1</v>
      </c>
      <c r="R49" s="10" t="str">
        <f>IFERROR(_xlfn.XLOOKUP(F49, BS_ATIVIDADE[ATIVIDADE],BS_ATIVIDADE[UNIDADE] ), "*")</f>
        <v>Nº DE SOLDA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1000</v>
      </c>
      <c r="W49" s="108" t="s">
        <v>1072</v>
      </c>
      <c r="X49" s="107" t="s">
        <v>382</v>
      </c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8" t="str">
        <f>IF(BS_CONTROLE[[#This Row],[Entre - Estações]]=0, "-", BS_CONTROLE[[#This Row],[Entre - Estações]])</f>
        <v>ZEC-ZKY</v>
      </c>
      <c r="AN49" s="108" t="str">
        <f>IF(BS_CONTROLE[[#This Row],[SB]]=0, "-", BS_CONTROLE[[#This Row],[SB]])</f>
        <v>ZEC267</v>
      </c>
      <c r="AO49" s="108">
        <f>IF(BS_CONTROLE[[#This Row],[SUB]]=0, "-", BS_CONTROLE[[#This Row],[SUB]])</f>
        <v>73</v>
      </c>
      <c r="AP49" s="108">
        <f>BS_CONTROLE[[#This Row],[KM - Inicio]]</f>
        <v>265.7</v>
      </c>
      <c r="AQ49" s="108">
        <f>BS_CONTROLE[[#This Row],[KM - Inicio]]</f>
        <v>265.7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IF(D49="","*",IFERROR(IF(ISODD(COUNT(AS49:AX1042)),"ERRO",SUM((AT49-AS49),(AV49-AU49),(AX49-AW49))),"ERRO"))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 hidden="1">
      <c r="A50" s="47" t="str">
        <f t="shared" si="2"/>
        <v>W54</v>
      </c>
      <c r="B50" s="105"/>
      <c r="C50" s="138" t="str">
        <f>IF(BS_CONTROLE[[#This Row],[DATA]]="","",WEEKNUM(BS_CONTROLE[[#This Row],[DATA]]))</f>
        <v/>
      </c>
      <c r="D50" s="196" t="s">
        <v>780</v>
      </c>
      <c r="E50" s="198" t="s">
        <v>568</v>
      </c>
      <c r="F50" s="198" t="s">
        <v>568</v>
      </c>
      <c r="G50" s="146" t="str">
        <f>IF(D50="","*",VLOOKUP(F50,BS_ATIVIDADE[],3,FALSE))</f>
        <v>OUTROS</v>
      </c>
      <c r="H50" s="199" t="s">
        <v>271</v>
      </c>
      <c r="I50" s="199"/>
      <c r="J50" s="130">
        <v>73</v>
      </c>
      <c r="K50" s="130">
        <v>202</v>
      </c>
      <c r="L50" s="108">
        <v>128</v>
      </c>
      <c r="M50" s="130" t="s">
        <v>1034</v>
      </c>
      <c r="N50" s="130" t="s">
        <v>1035</v>
      </c>
      <c r="O50" s="199">
        <v>0.375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1036</v>
      </c>
      <c r="W50" s="108" t="s">
        <v>1037</v>
      </c>
      <c r="X50" s="107" t="s">
        <v>382</v>
      </c>
      <c r="Y50" s="132"/>
      <c r="Z50" s="107"/>
      <c r="AA50" s="191" t="s">
        <v>1038</v>
      </c>
      <c r="AB50" s="201" t="s">
        <v>379</v>
      </c>
      <c r="AC50" s="201" t="s">
        <v>380</v>
      </c>
      <c r="AD50" s="202">
        <v>0.45833333333333331</v>
      </c>
      <c r="AE50" s="200"/>
      <c r="AF50" s="200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ZRU2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ZRU-ZPN</v>
      </c>
      <c r="AN50" s="108" t="str">
        <f>IF(BS_CONTROLE[[#This Row],[SB]]=0, "-", BS_CONTROLE[[#This Row],[SB]])</f>
        <v>ZRUZPN</v>
      </c>
      <c r="AO50" s="108">
        <f>IF(BS_CONTROLE[[#This Row],[SUB]]=0, "-", BS_CONTROLE[[#This Row],[SUB]])</f>
        <v>73</v>
      </c>
      <c r="AP50" s="108">
        <f>BS_CONTROLE[[#This Row],[KM - Inicio]]</f>
        <v>202</v>
      </c>
      <c r="AQ50" s="108">
        <f>BS_CONTROLE[[#This Row],[KM - Inicio]]</f>
        <v>202</v>
      </c>
      <c r="AR50" s="111"/>
      <c r="AS50" s="111"/>
      <c r="AT50" s="111"/>
      <c r="AU50" s="139"/>
      <c r="AV50" s="139"/>
      <c r="AW50" s="14"/>
      <c r="AX50" s="14"/>
      <c r="AY50" s="186">
        <f t="shared" ref="AY50:AY78" si="7">IF(D50="","*",IFERROR(IF(ISODD(COUNT(AS50:AX1044)),"ERRO",SUM((AT50-AS50),(AV50-AU50),(AX50-AW50))),"ERRO"))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>V8846057</v>
      </c>
      <c r="B51" s="105">
        <v>46057</v>
      </c>
      <c r="C51" s="138">
        <f>IF(BS_CONTROLE[[#This Row],[DATA]]="","",WEEKNUM(BS_CONTROLE[[#This Row],[DATA]]))</f>
        <v>6</v>
      </c>
      <c r="D51" s="188" t="s">
        <v>762</v>
      </c>
      <c r="E51" s="190" t="s">
        <v>659</v>
      </c>
      <c r="F51" s="129" t="s">
        <v>659</v>
      </c>
      <c r="G51" s="146" t="str">
        <f>IF(D51="","*",VLOOKUP(F51,BS_ATIVIDADE[],3,FALSE))</f>
        <v>MECANIZAÇÃO - SOCADORA</v>
      </c>
      <c r="H51" s="109" t="s">
        <v>994</v>
      </c>
      <c r="I51" s="109" t="s">
        <v>1033</v>
      </c>
      <c r="J51" s="108">
        <v>73</v>
      </c>
      <c r="K51" s="108">
        <v>153.80000000000001</v>
      </c>
      <c r="L51" s="108">
        <v>152</v>
      </c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1" s="199">
        <v>0.35416666666666669</v>
      </c>
      <c r="P51" s="109">
        <v>0.125</v>
      </c>
      <c r="Q51" s="108">
        <v>1500</v>
      </c>
      <c r="R51" s="10" t="str">
        <f>IFERROR(_xlfn.XLOOKUP(F51, BS_ATIVIDADE[ATIVIDADE],BS_ATIVIDADE[UNIDADE] ), "*")</f>
        <v>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991</v>
      </c>
      <c r="W51" s="108" t="s">
        <v>992</v>
      </c>
      <c r="X51" s="107" t="s">
        <v>382</v>
      </c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MECANIZAÇÃO - SOCADORA</v>
      </c>
      <c r="AJ51" s="9" t="str">
        <f>IF(BS_CONTROLE[[#This Row],[Atividade]]=0, "-", BS_CONTROLE[[#This Row],[Atividade]])</f>
        <v>MECANIZAÇÃO - SOCADORA</v>
      </c>
      <c r="AK51" s="31" t="str">
        <f>BS_CONTROLE[[#This Row],[Local - Partida]]</f>
        <v>ZPN2</v>
      </c>
      <c r="AL51" s="31" t="str">
        <f>BS_CONTROLE[[#This Row],[Local - Encerramento]]</f>
        <v>ZPN</v>
      </c>
      <c r="AM51" s="108" t="str">
        <f>IF(BS_CONTROLE[[#This Row],[Entre - Estações]]=0, "-", BS_CONTROLE[[#This Row],[Entre - Estações]])</f>
        <v>ZCV-ZCT</v>
      </c>
      <c r="AN51" s="108" t="str">
        <f>IF(BS_CONTROLE[[#This Row],[SB]]=0, "-", BS_CONTROLE[[#This Row],[SB]])</f>
        <v>152ZCT</v>
      </c>
      <c r="AO51" s="108">
        <f>IF(BS_CONTROLE[[#This Row],[SUB]]=0, "-", BS_CONTROLE[[#This Row],[SUB]])</f>
        <v>73</v>
      </c>
      <c r="AP51" s="108">
        <f>BS_CONTROLE[[#This Row],[KM - Inicio]]</f>
        <v>153.80000000000001</v>
      </c>
      <c r="AQ51" s="108">
        <f>BS_CONTROLE[[#This Row],[KM - Inicio]]</f>
        <v>153.80000000000001</v>
      </c>
      <c r="AR51" s="111"/>
      <c r="AS51" s="111"/>
      <c r="AT51" s="111"/>
      <c r="AU51" s="139"/>
      <c r="AV51" s="139"/>
      <c r="AW51" s="14"/>
      <c r="AX51" s="14"/>
      <c r="AY51" s="186">
        <f t="shared" si="7"/>
        <v>0</v>
      </c>
      <c r="AZ51" s="157"/>
      <c r="BA51" s="112"/>
      <c r="BB51" s="10" t="str">
        <f>IFERROR(_xlfn.XLOOKUP(AI51, BS_ATIVIDADE[ATIVIDADE],BS_ATIVIDADE[UNIDADE] ), "*")</f>
        <v>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>PEDRO (TP-696)46057</v>
      </c>
      <c r="B52" s="105">
        <v>46057</v>
      </c>
      <c r="C52" s="138">
        <f>IF(BS_CONTROLE[[#This Row],[DATA]]="","",WEEKNUM(BS_CONTROLE[[#This Row],[DATA]]))</f>
        <v>6</v>
      </c>
      <c r="D52" s="107" t="s">
        <v>875</v>
      </c>
      <c r="E52" s="129" t="s">
        <v>736</v>
      </c>
      <c r="F52" s="129" t="s">
        <v>736</v>
      </c>
      <c r="G52" s="146" t="str">
        <f>IF(D52="","*",VLOOKUP(F52,BS_ATIVIDADE[],3,FALSE))</f>
        <v>SOLDA</v>
      </c>
      <c r="H52" s="199" t="s">
        <v>554</v>
      </c>
      <c r="I52" s="199" t="s">
        <v>554</v>
      </c>
      <c r="J52" s="108">
        <v>73</v>
      </c>
      <c r="K52" s="108">
        <v>102</v>
      </c>
      <c r="L52" s="108" t="s">
        <v>554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2" s="199">
        <v>0.375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1000</v>
      </c>
      <c r="W52" s="108" t="s">
        <v>1006</v>
      </c>
      <c r="X52" s="107" t="s">
        <v>382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ZCZ-ZZF</v>
      </c>
      <c r="AN52" s="108" t="str">
        <f>IF(BS_CONTROLE[[#This Row],[SB]]=0, "-", BS_CONTROLE[[#This Row],[SB]])</f>
        <v>101ZZF</v>
      </c>
      <c r="AO52" s="108">
        <f>IF(BS_CONTROLE[[#This Row],[SUB]]=0, "-", BS_CONTROLE[[#This Row],[SUB]])</f>
        <v>73</v>
      </c>
      <c r="AP52" s="108">
        <f>BS_CONTROLE[[#This Row],[KM - Inicio]]</f>
        <v>102</v>
      </c>
      <c r="AQ52" s="108">
        <f>BS_CONTROLE[[#This Row],[KM - Inicio]]</f>
        <v>102</v>
      </c>
      <c r="AR52" s="111"/>
      <c r="AS52" s="111"/>
      <c r="AT52" s="111"/>
      <c r="AU52" s="139"/>
      <c r="AV52" s="139"/>
      <c r="AW52" s="14"/>
      <c r="AX52" s="14"/>
      <c r="AY52" s="186">
        <f t="shared" si="7"/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 W50:W51 W48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45 Z42:Z43 Z49 Y50:Z1008">
    <cfRule type="cellIs" dxfId="179" priority="54178" operator="equal">
      <formula>"OPORTUNIDADE"</formula>
    </cfRule>
  </conditionalFormatting>
  <conditionalFormatting sqref="Z30:Z38 Y6:Z27 Y41:Z41 Z40 Y44:Z45 Z42:Z43 Z49 Y50:Z1008">
    <cfRule type="cellIs" dxfId="178" priority="11764" operator="equal">
      <formula>"NÃO"</formula>
    </cfRule>
    <cfRule type="cellIs" dxfId="177" priority="11765" operator="equal">
      <formula>"SIM"</formula>
    </cfRule>
  </conditionalFormatting>
  <conditionalFormatting sqref="AZ6:AZ1008">
    <cfRule type="expression" dxfId="176" priority="54220">
      <formula>#REF!=1</formula>
    </cfRule>
  </conditionalFormatting>
  <conditionalFormatting sqref="U6:U1008 AY6:AY1008 BE6:BE1008">
    <cfRule type="cellIs" dxfId="175" priority="54204" operator="equal">
      <formula>"ERRO"</formula>
    </cfRule>
  </conditionalFormatting>
  <conditionalFormatting sqref="BQ6:BQ1008">
    <cfRule type="cellIs" dxfId="174" priority="54199" operator="equal">
      <formula>"Produção e Intervalo"</formula>
    </cfRule>
    <cfRule type="cellIs" dxfId="173" priority="54200" operator="equal">
      <formula>"Aderente"</formula>
    </cfRule>
    <cfRule type="cellIs" dxfId="172" priority="54201" operator="equal">
      <formula>"Intervalo"</formula>
    </cfRule>
    <cfRule type="cellIs" dxfId="171" priority="54202" operator="equal">
      <formula>"Produção"</formula>
    </cfRule>
    <cfRule type="cellIs" dxfId="170" priority="54203" operator="equal">
      <formula>"ERRO"</formula>
    </cfRule>
  </conditionalFormatting>
  <conditionalFormatting sqref="BR6:BS1008">
    <cfRule type="cellIs" dxfId="169" priority="54181" operator="equal">
      <formula>"*"</formula>
    </cfRule>
    <cfRule type="cellIs" dxfId="168" priority="54182" operator="greaterThanOrEqual">
      <formula>1</formula>
    </cfRule>
    <cfRule type="cellIs" dxfId="167" priority="54183" operator="lessThan">
      <formula>1</formula>
    </cfRule>
  </conditionalFormatting>
  <conditionalFormatting sqref="BK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6" priority="81" operator="equal">
      <formula>"OPORTUNIDADE"</formula>
    </cfRule>
  </conditionalFormatting>
  <conditionalFormatting sqref="Y28:Z29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63" priority="57" operator="equal">
      <formula>"OPORTUNIDADE"</formula>
    </cfRule>
  </conditionalFormatting>
  <conditionalFormatting sqref="Z39">
    <cfRule type="cellIs" dxfId="162" priority="55" operator="equal">
      <formula>"NÃO"</formula>
    </cfRule>
    <cfRule type="cellIs" dxfId="161" priority="56" operator="equal">
      <formula>"SIM"</formula>
    </cfRule>
  </conditionalFormatting>
  <conditionalFormatting sqref="Y30:Y40 Y42:Y43">
    <cfRule type="cellIs" dxfId="160" priority="54" operator="equal">
      <formula>"OPORTUNIDADE"</formula>
    </cfRule>
  </conditionalFormatting>
  <conditionalFormatting sqref="Y30:Y40 Y42:Y43">
    <cfRule type="cellIs" dxfId="159" priority="52" operator="equal">
      <formula>"NÃO"</formula>
    </cfRule>
    <cfRule type="cellIs" dxfId="158" priority="53" operator="equal">
      <formula>"SIM"</formula>
    </cfRule>
  </conditionalFormatting>
  <conditionalFormatting sqref="BK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46:Z48">
    <cfRule type="cellIs" dxfId="157" priority="25" operator="equal">
      <formula>"OPORTUNIDADE"</formula>
    </cfRule>
  </conditionalFormatting>
  <conditionalFormatting sqref="Y46:Z48">
    <cfRule type="cellIs" dxfId="156" priority="23" operator="equal">
      <formula>"NÃO"</formula>
    </cfRule>
    <cfRule type="cellIs" dxfId="155" priority="24" operator="equal">
      <formula>"SIM"</formula>
    </cfRule>
  </conditionalFormatting>
  <conditionalFormatting sqref="Y49">
    <cfRule type="cellIs" dxfId="154" priority="19" operator="equal">
      <formula>"OPORTUNIDADE"</formula>
    </cfRule>
  </conditionalFormatting>
  <conditionalFormatting sqref="Y49">
    <cfRule type="cellIs" dxfId="153" priority="17" operator="equal">
      <formula>"NÃO"</formula>
    </cfRule>
    <cfRule type="cellIs" dxfId="152" priority="18" operator="equal">
      <formula>"SIM"</formula>
    </cfRule>
  </conditionalFormatting>
  <conditionalFormatting sqref="BK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:BP29 BP6:BP7 BP11:BP12 BP44:BP1008 BP41 BP35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1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17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:J45 J53:J1008 J47:J48 J50:J51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E43 E46:F46 F6:F45 F47:F48 F51:F1008 E51:E52 E48 E49:F50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1073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1074</v>
      </c>
      <c r="C4" s="166" t="s">
        <v>1075</v>
      </c>
      <c r="D4" s="166" t="s">
        <v>1076</v>
      </c>
      <c r="E4" s="166" t="s">
        <v>1077</v>
      </c>
      <c r="F4" s="166" t="s">
        <v>4</v>
      </c>
      <c r="G4" s="166" t="s">
        <v>1078</v>
      </c>
    </row>
    <row r="5" spans="2:7">
      <c r="B5" s="167" t="s">
        <v>1079</v>
      </c>
      <c r="C5" s="167">
        <v>257068</v>
      </c>
      <c r="D5" s="167" t="s">
        <v>1080</v>
      </c>
      <c r="E5" s="167" t="s">
        <v>1081</v>
      </c>
      <c r="F5" s="167" t="s">
        <v>1081</v>
      </c>
      <c r="G5" s="168">
        <v>46296</v>
      </c>
    </row>
    <row r="6" spans="2:7">
      <c r="B6" s="167" t="s">
        <v>1082</v>
      </c>
      <c r="C6" s="167" t="s">
        <v>554</v>
      </c>
      <c r="D6" s="167" t="s">
        <v>554</v>
      </c>
      <c r="E6" s="167" t="s">
        <v>554</v>
      </c>
      <c r="F6" s="167" t="s">
        <v>1083</v>
      </c>
      <c r="G6" s="168" t="s">
        <v>554</v>
      </c>
    </row>
    <row r="7" spans="2:7">
      <c r="B7" s="167" t="s">
        <v>1084</v>
      </c>
      <c r="C7" s="167">
        <v>257472</v>
      </c>
      <c r="D7" s="167" t="s">
        <v>1085</v>
      </c>
      <c r="E7" s="167" t="s">
        <v>1086</v>
      </c>
      <c r="F7" s="167" t="s">
        <v>1086</v>
      </c>
      <c r="G7" s="168">
        <v>45992</v>
      </c>
    </row>
    <row r="8" spans="2:7">
      <c r="B8" s="167" t="s">
        <v>1087</v>
      </c>
      <c r="C8" s="167">
        <v>260307</v>
      </c>
      <c r="D8" s="167" t="s">
        <v>1088</v>
      </c>
      <c r="E8" s="167" t="s">
        <v>1089</v>
      </c>
      <c r="F8" s="167" t="s">
        <v>1086</v>
      </c>
      <c r="G8" s="168">
        <v>46082</v>
      </c>
    </row>
    <row r="9" spans="2:7">
      <c r="B9" s="167" t="s">
        <v>1090</v>
      </c>
      <c r="C9" s="167">
        <v>333033</v>
      </c>
      <c r="D9" s="167" t="s">
        <v>1091</v>
      </c>
      <c r="E9" s="167" t="s">
        <v>1083</v>
      </c>
      <c r="F9" s="167" t="s">
        <v>1092</v>
      </c>
      <c r="G9" s="167" t="s">
        <v>554</v>
      </c>
    </row>
    <row r="10" spans="2:7">
      <c r="B10" s="167" t="s">
        <v>1093</v>
      </c>
      <c r="C10" s="167"/>
      <c r="D10" s="167"/>
      <c r="E10" s="167" t="s">
        <v>1083</v>
      </c>
      <c r="F10" s="167" t="s">
        <v>1092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1095</v>
      </c>
      <c r="E3" s="169" t="s">
        <v>1096</v>
      </c>
      <c r="F3" s="169" t="s">
        <v>1097</v>
      </c>
      <c r="G3" s="169" t="s">
        <v>1098</v>
      </c>
      <c r="H3" s="169" t="s">
        <v>1099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1100</v>
      </c>
      <c r="V1" s="251"/>
      <c r="W1" s="251"/>
    </row>
    <row r="2" spans="1:23" ht="15" customHeight="1">
      <c r="A2" s="90" t="s">
        <v>1101</v>
      </c>
      <c r="B2" s="90" t="s">
        <v>1102</v>
      </c>
      <c r="C2" s="90" t="s">
        <v>372</v>
      </c>
      <c r="D2" s="91" t="s">
        <v>940</v>
      </c>
      <c r="E2" s="91" t="s">
        <v>4</v>
      </c>
      <c r="F2" s="91" t="s">
        <v>1103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TMI-ZEB</v>
      </c>
      <c r="F43" s="149">
        <f>IF(SP_NORTE!B46="","*",SP_NORTE!B46)</f>
        <v>46057</v>
      </c>
      <c r="G43" s="149" t="str">
        <f>IF(SP_NORTE!D46="","*",SP_NORTE!D46)</f>
        <v>W57</v>
      </c>
      <c r="H43" s="149" t="str">
        <f>IF(SP_NORTE!F46="","*",SP_NORTE!F46)</f>
        <v>RECOLHIMENTO DE MATERIAL</v>
      </c>
      <c r="I43" s="149" t="str">
        <f>IF(SP_NORTE!H46="","*",SP_NORTE!H46)</f>
        <v>ZJA2</v>
      </c>
      <c r="J43" s="149" t="str">
        <f>IF(SP_NORTE!I46="","*",SP_NORTE!I46)</f>
        <v>ZJA2</v>
      </c>
      <c r="K43" s="142" t="str">
        <f>IF(SP_NORTE!M46="","*",SP_NORTE!M46)</f>
        <v>ZJA-ZUR</v>
      </c>
      <c r="L43" s="142" t="str">
        <f>IF(SP_NORTE!N46="","*",SP_NORTE!N46)</f>
        <v>ZJA-ZUR</v>
      </c>
      <c r="M43" s="143">
        <f>IF(SP_NORTE!J46="","*",SP_NORTE!J46)</f>
        <v>73</v>
      </c>
      <c r="N43" s="148">
        <f>IF(SP_NORTE!K46="","*",SP_NORTE!K46)</f>
        <v>379</v>
      </c>
      <c r="O43" s="148">
        <f>IF(SP_NORTE!L46="","*",SP_NORTE!L46)</f>
        <v>375</v>
      </c>
      <c r="P43" s="147">
        <f>IF(SP_NORTE!O46="","*",SP_NORTE!O46)</f>
        <v>0.375</v>
      </c>
      <c r="Q43" s="147">
        <f>IF(SP_NORTE!P46="","*",SP_NORTE!P46)</f>
        <v>8.3333333333333329E-2</v>
      </c>
      <c r="R43" s="149" t="str">
        <f>IF(SP_NORTE!Q46="","*",CONCATENATE(SP_NORTE!Q46," ",SP_NORTE!R46))</f>
        <v>700 BINÁRIO</v>
      </c>
      <c r="S43" s="149" t="str">
        <f>IF(SP_NORTE!V46="","*",SP_NORTE!V46)</f>
        <v xml:space="preserve">Ronaldo </v>
      </c>
      <c r="T43" s="149" t="str">
        <f>IF(SP_NORTE!W46="","*",SP_NORTE!W46)</f>
        <v>Recolhimento de dormentes inservÍveis</v>
      </c>
      <c r="U43" s="140">
        <f ca="1">_xlfn.XLOOKUP(G43&amp;$U$2,BS_CONTROLE[CHAVE],BS_CONTROLE[Quantidade_11],"-")</f>
        <v>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Oportunidade</v>
      </c>
      <c r="C44" s="150" t="str">
        <f>IF(SP_NORTE!Z47="","*",SP_NORTE!Z47)</f>
        <v>*</v>
      </c>
      <c r="D44" s="142" t="str">
        <f>IF(SP_NORTE!S47="","*",SP_NORTE!S47)</f>
        <v>SP NORTE</v>
      </c>
      <c r="E44" s="142" t="str">
        <f>IF(SP_NORTE!T47="","*",SP_NORTE!T47)</f>
        <v>TMI-ZEB</v>
      </c>
      <c r="F44" s="149">
        <f>IF(SP_NORTE!B47="","*",SP_NORTE!B47)</f>
        <v>46057</v>
      </c>
      <c r="G44" s="149" t="str">
        <f>IF(SP_NORTE!D47="","*",SP_NORTE!D47)</f>
        <v>A63</v>
      </c>
      <c r="H44" s="149" t="str">
        <f>IF(SP_NORTE!F47="","*",SP_NORTE!F47)</f>
        <v>INSPEÇÃO AUTO DE LINHA</v>
      </c>
      <c r="I44" s="149" t="str">
        <f>IF(SP_NORTE!H47="","*",SP_NORTE!H47)</f>
        <v>ZVP2</v>
      </c>
      <c r="J44" s="149" t="str">
        <f>IF(SP_NORTE!I47="","*",SP_NORTE!I47)</f>
        <v>ZRU</v>
      </c>
      <c r="K44" s="142" t="str">
        <f>IF(SP_NORTE!M47="","*",SP_NORTE!M47)</f>
        <v>ZVP-ZRU</v>
      </c>
      <c r="L44" s="142" t="str">
        <f>IF(SP_NORTE!N47="","*",SP_NORTE!N47)</f>
        <v>ZVPZRU</v>
      </c>
      <c r="M44" s="143">
        <f>IF(SP_NORTE!J47="","*",SP_NORTE!J47)</f>
        <v>73</v>
      </c>
      <c r="N44" s="148">
        <f>IF(SP_NORTE!K47="","*",SP_NORTE!K47)</f>
        <v>306</v>
      </c>
      <c r="O44" s="148">
        <f>IF(SP_NORTE!L47="","*",SP_NORTE!L47)</f>
        <v>204</v>
      </c>
      <c r="P44" s="147">
        <f>IF(SP_NORTE!O47="","*",SP_NORTE!O47)</f>
        <v>0.33333333333333331</v>
      </c>
      <c r="Q44" s="147">
        <f>IF(SP_NORTE!P47="","*",SP_NORTE!P47)</f>
        <v>4.1666666666666664E-2</v>
      </c>
      <c r="R44" s="149" t="str">
        <f>IF(SP_NORTE!Q47="","*",CONCATENATE(SP_NORTE!Q47," ",SP_NORTE!R47))</f>
        <v>1 BINÁRIO</v>
      </c>
      <c r="S44" s="149" t="str">
        <f>IF(SP_NORTE!V47="","*",SP_NORTE!V47)</f>
        <v xml:space="preserve">Ronaldo </v>
      </c>
      <c r="T44" s="149" t="str">
        <f>IF(SP_NORTE!W47="","*",SP_NORTE!W47)</f>
        <v>Auto de linha inspeção ANTT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46057</v>
      </c>
      <c r="G45" s="149" t="str">
        <f>IF(SP_NORTE!D49="","*",SP_NORTE!D49)</f>
        <v>JOVÂNIO (TP-850)</v>
      </c>
      <c r="H45" s="149" t="str">
        <f>IF(SP_NORTE!F49="","*",SP_NORTE!F49)</f>
        <v>PDM - SOLDA</v>
      </c>
      <c r="I45" s="149" t="str">
        <f>IF(SP_NORTE!H49="","*",SP_NORTE!H49)</f>
        <v>-</v>
      </c>
      <c r="J45" s="149" t="str">
        <f>IF(SP_NORTE!I49="","*",SP_NORTE!I49)</f>
        <v>-</v>
      </c>
      <c r="K45" s="142" t="str">
        <f>IF(SP_NORTE!M49="","*",SP_NORTE!M49)</f>
        <v>ZEC-ZKY</v>
      </c>
      <c r="L45" s="142" t="str">
        <f>IF(SP_NORTE!N49="","*",SP_NORTE!N49)</f>
        <v>ZEC267</v>
      </c>
      <c r="M45" s="143">
        <f>IF(SP_NORTE!J49="","*",SP_NORTE!J49)</f>
        <v>73</v>
      </c>
      <c r="N45" s="148">
        <f>IF(SP_NORTE!K49="","*",SP_NORTE!K49)</f>
        <v>265.7</v>
      </c>
      <c r="O45" s="148" t="str">
        <f>IF(SP_NORTE!L49="","*",SP_NORTE!L49)</f>
        <v>-</v>
      </c>
      <c r="P45" s="147">
        <f>IF(SP_NORTE!O49="","*",SP_NORTE!O49)</f>
        <v>0.375</v>
      </c>
      <c r="Q45" s="147">
        <f>IF(SP_NORTE!P49="","*",SP_NORTE!P49)</f>
        <v>6.25E-2</v>
      </c>
      <c r="R45" s="149" t="str">
        <f>IF(SP_NORTE!Q49="","*",CONCATENATE(SP_NORTE!Q49," ",SP_NORTE!R49))</f>
        <v>1 Nº DE SOLDA</v>
      </c>
      <c r="S45" s="149" t="str">
        <f>IF(SP_NORTE!V49="","*",SP_NORTE!V49)</f>
        <v xml:space="preserve">Ronaldo </v>
      </c>
      <c r="T45" s="149" t="str">
        <f>IF(SP_NORTE!W49="","*",SP_NORTE!W49)</f>
        <v>Execução de solda - Condicionado à temperatura</v>
      </c>
      <c r="U45" s="140">
        <f ca="1">_xlfn.XLOOKUP(G45&amp;$U$2,BS_CONTROLE[CHAVE],BS_CONTROLE[Quantidade_11],"-")</f>
        <v>0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e">
        <f>IF(SP_NORTE!#REF!="","*",SP_NORTE!#REF!)</f>
        <v>#REF!</v>
      </c>
      <c r="B46" s="150" t="e">
        <f>IF(SP_NORTE!#REF!="","*",SP_NORTE!#REF!)</f>
        <v>#REF!</v>
      </c>
      <c r="C46" s="150" t="e">
        <f>IF(SP_NORTE!#REF!="","*",SP_NORTE!#REF!)</f>
        <v>#REF!</v>
      </c>
      <c r="D46" s="142" t="e">
        <f>IF(SP_NORTE!#REF!="","*",SP_NORTE!#REF!)</f>
        <v>#REF!</v>
      </c>
      <c r="E46" s="142" t="e">
        <f>IF(SP_NORTE!#REF!="","*",SP_NORTE!#REF!)</f>
        <v>#REF!</v>
      </c>
      <c r="F46" s="149" t="e">
        <f>IF(SP_NORTE!#REF!="","*",SP_NORTE!#REF!)</f>
        <v>#REF!</v>
      </c>
      <c r="G46" s="149" t="e">
        <f>IF(SP_NORTE!#REF!="","*",SP_NORTE!#REF!)</f>
        <v>#REF!</v>
      </c>
      <c r="H46" s="149" t="e">
        <f>IF(SP_NORTE!#REF!="","*",SP_NORTE!#REF!)</f>
        <v>#REF!</v>
      </c>
      <c r="I46" s="149" t="e">
        <f>IF(SP_NORTE!#REF!="","*",SP_NORTE!#REF!)</f>
        <v>#REF!</v>
      </c>
      <c r="J46" s="149" t="e">
        <f>IF(SP_NORTE!#REF!="","*",SP_NORTE!#REF!)</f>
        <v>#REF!</v>
      </c>
      <c r="K46" s="142" t="e">
        <f>IF(SP_NORTE!#REF!="","*",SP_NORTE!#REF!)</f>
        <v>#REF!</v>
      </c>
      <c r="L46" s="142" t="e">
        <f>IF(SP_NORTE!#REF!="","*",SP_NORTE!#REF!)</f>
        <v>#REF!</v>
      </c>
      <c r="M46" s="143" t="e">
        <f>IF(SP_NORTE!#REF!="","*",SP_NORTE!#REF!)</f>
        <v>#REF!</v>
      </c>
      <c r="N46" s="148" t="e">
        <f>IF(SP_NORTE!#REF!="","*",SP_NORTE!#REF!)</f>
        <v>#REF!</v>
      </c>
      <c r="O46" s="148" t="e">
        <f>IF(SP_NORTE!#REF!="","*",SP_NORTE!#REF!)</f>
        <v>#REF!</v>
      </c>
      <c r="P46" s="147" t="e">
        <f>IF(SP_NORTE!#REF!="","*",SP_NORTE!#REF!)</f>
        <v>#REF!</v>
      </c>
      <c r="Q46" s="147" t="e">
        <f>IF(SP_NORTE!#REF!="","*",SP_NORTE!#REF!)</f>
        <v>#REF!</v>
      </c>
      <c r="R46" s="149" t="e">
        <f>IF(SP_NORTE!#REF!="","*",CONCATENATE(SP_NORTE!#REF!," ",SP_NORTE!#REF!))</f>
        <v>#REF!</v>
      </c>
      <c r="S46" s="149" t="e">
        <f>IF(SP_NORTE!#REF!="","*",SP_NORTE!#REF!)</f>
        <v>#REF!</v>
      </c>
      <c r="T46" s="149" t="e">
        <f>IF(SP_NORTE!#REF!="","*",SP_NORTE!#REF!)</f>
        <v>#REF!</v>
      </c>
      <c r="U46" s="140" t="e">
        <f ca="1">_xlfn.XLOOKUP(G46&amp;$U$2,BS_CONTROLE[CHAVE],BS_CONTROLE[Quantidade_11],"-")</f>
        <v>#REF!</v>
      </c>
      <c r="V46" s="140" t="e">
        <f ca="1">_xlfn.XLOOKUP(G46&amp;$V$2,BS_CONTROLE[CHAVE],BS_CONTROLE[Quantidade_11],"-")</f>
        <v>#REF!</v>
      </c>
      <c r="W46" s="140" t="e">
        <f ca="1">_xlfn.XLOOKUP(G46&amp;$W$2,BS_CONTROLE[CHAVE],BS_CONTROLE[Quantidade_11],"-")</f>
        <v>#REF!</v>
      </c>
    </row>
    <row r="47" spans="1:23" hidden="1">
      <c r="A47" s="150" t="str">
        <f>IF(SP_NORTE!Y50="","*",SP_NORTE!Y50)</f>
        <v>*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ZEB-ZCZ</v>
      </c>
      <c r="F47" s="149" t="str">
        <f>IF(SP_NORTE!B50="","*",SP_NORTE!B50)</f>
        <v>*</v>
      </c>
      <c r="G47" s="149" t="str">
        <f>IF(SP_NORTE!D50="","*",SP_NORTE!D50)</f>
        <v>W54</v>
      </c>
      <c r="H47" s="149" t="str">
        <f>IF(SP_NORTE!F50="","*",SP_NORTE!F50)</f>
        <v>DESLOCAMENTO</v>
      </c>
      <c r="I47" s="149" t="str">
        <f>IF(SP_NORTE!H50="","*",SP_NORTE!H50)</f>
        <v>ZRU2</v>
      </c>
      <c r="J47" s="149" t="str">
        <f>IF(SP_NORTE!I50="","*",SP_NORTE!I50)</f>
        <v>*</v>
      </c>
      <c r="K47" s="142" t="str">
        <f>IF(SP_NORTE!M50="","*",SP_NORTE!M50)</f>
        <v>ZRU-ZPN</v>
      </c>
      <c r="L47" s="142" t="str">
        <f>IF(SP_NORTE!N50="","*",SP_NORTE!N50)</f>
        <v>ZRUZPN</v>
      </c>
      <c r="M47" s="143">
        <f>IF(SP_NORTE!J50="","*",SP_NORTE!J50)</f>
        <v>73</v>
      </c>
      <c r="N47" s="148">
        <f>IF(SP_NORTE!K50="","*",SP_NORTE!K50)</f>
        <v>202</v>
      </c>
      <c r="O47" s="148">
        <f>IF(SP_NORTE!L50="","*",SP_NORTE!L50)</f>
        <v>128</v>
      </c>
      <c r="P47" s="147">
        <f>IF(SP_NORTE!O50="","*",SP_NORTE!O50)</f>
        <v>0.375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 xml:space="preserve">stadler </v>
      </c>
      <c r="T47" s="149" t="str">
        <f>IF(SP_NORTE!W50="","*",SP_NORTE!W50)</f>
        <v>Deslocamento ZRU-ZPN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ZEB-ZCZ</v>
      </c>
      <c r="F48" s="149">
        <f>IF(SP_NORTE!B51="","*",SP_NORTE!B51)</f>
        <v>46057</v>
      </c>
      <c r="G48" s="149" t="str">
        <f>IF(SP_NORTE!D51="","*",SP_NORTE!D51)</f>
        <v>V88</v>
      </c>
      <c r="H48" s="149" t="str">
        <f>IF(SP_NORTE!F51="","*",SP_NORTE!F51)</f>
        <v>MECANIZAÇÃO - SOCADORA</v>
      </c>
      <c r="I48" s="149" t="str">
        <f>IF(SP_NORTE!H51="","*",SP_NORTE!H51)</f>
        <v>ZPN2</v>
      </c>
      <c r="J48" s="149" t="str">
        <f>IF(SP_NORTE!I51="","*",SP_NORTE!I51)</f>
        <v>ZPN</v>
      </c>
      <c r="K48" s="142" t="str">
        <f>IF(SP_NORTE!M51="","*",SP_NORTE!M51)</f>
        <v>ZCV-ZCT</v>
      </c>
      <c r="L48" s="142" t="str">
        <f>IF(SP_NORTE!N51="","*",SP_NORTE!N51)</f>
        <v>152ZCT</v>
      </c>
      <c r="M48" s="143">
        <f>IF(SP_NORTE!J51="","*",SP_NORTE!J51)</f>
        <v>73</v>
      </c>
      <c r="N48" s="148">
        <f>IF(SP_NORTE!K51="","*",SP_NORTE!K51)</f>
        <v>153.80000000000001</v>
      </c>
      <c r="O48" s="148">
        <f>IF(SP_NORTE!L51="","*",SP_NORTE!L51)</f>
        <v>152</v>
      </c>
      <c r="P48" s="147">
        <f>IF(SP_NORTE!O51="","*",SP_NORTE!O51)</f>
        <v>0.35416666666666669</v>
      </c>
      <c r="Q48" s="147">
        <f>IF(SP_NORTE!P51="","*",SP_NORTE!P51)</f>
        <v>0.125</v>
      </c>
      <c r="R48" s="149" t="str">
        <f>IF(SP_NORTE!Q51="","*",CONCATENATE(SP_NORTE!Q51," ",SP_NORTE!R51))</f>
        <v>1500 M</v>
      </c>
      <c r="S48" s="149" t="str">
        <f>IF(SP_NORTE!V51="","*",SP_NORTE!V51)</f>
        <v>Antonioni</v>
      </c>
      <c r="T48" s="149" t="str">
        <f>IF(SP_NORTE!W51="","*",SP_NORTE!W51)</f>
        <v xml:space="preserve">Socadora Mecanizada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ZEB-ZCZ</v>
      </c>
      <c r="F49" s="149">
        <f>IF(SP_NORTE!B52="","*",SP_NORTE!B52)</f>
        <v>46057</v>
      </c>
      <c r="G49" s="149" t="str">
        <f>IF(SP_NORTE!D52="","*",SP_NORTE!D52)</f>
        <v>PEDRO (TP-696)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ZCZ-ZZF</v>
      </c>
      <c r="L49" s="142" t="str">
        <f>IF(SP_NORTE!N52="","*",SP_NORTE!N52)</f>
        <v>101ZZF</v>
      </c>
      <c r="M49" s="143">
        <f>IF(SP_NORTE!J52="","*",SP_NORTE!J52)</f>
        <v>73</v>
      </c>
      <c r="N49" s="148">
        <f>IF(SP_NORTE!K52="","*",SP_NORTE!K52)</f>
        <v>102</v>
      </c>
      <c r="O49" s="148" t="str">
        <f>IF(SP_NORTE!L52="","*",SP_NORTE!L52)</f>
        <v>-</v>
      </c>
      <c r="P49" s="147">
        <f>IF(SP_NORTE!O52="","*",SP_NORTE!O52)</f>
        <v>0.375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 xml:space="preserve">Ronaldo </v>
      </c>
      <c r="T49" s="149" t="str">
        <f>IF(SP_NORTE!W52="","*",SP_NORTE!W52)</f>
        <v>execução de solda - Condicionado à temperatura</v>
      </c>
      <c r="U49" s="140">
        <f ca="1">_xlfn.XLOOKUP(G49&amp;$U$2,BS_CONTROLE[CHAVE],BS_CONTROLE[Quantidade_11],"-")</f>
        <v>0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1105</v>
      </c>
      <c r="D5" s="253"/>
      <c r="E5" s="253"/>
      <c r="F5" s="253"/>
      <c r="G5" s="253"/>
      <c r="H5" s="253"/>
      <c r="I5" s="253"/>
      <c r="J5" s="254"/>
      <c r="K5" s="255" t="s">
        <v>1106</v>
      </c>
      <c r="L5" s="256"/>
      <c r="M5" s="256"/>
      <c r="N5" s="256"/>
      <c r="O5" s="257" t="s">
        <v>1107</v>
      </c>
      <c r="P5" s="258"/>
    </row>
    <row r="6" spans="1:16" s="77" customFormat="1" ht="15" customHeight="1">
      <c r="A6" s="69" t="s">
        <v>1103</v>
      </c>
      <c r="B6" s="78" t="s">
        <v>1102</v>
      </c>
      <c r="C6" s="79" t="s">
        <v>940</v>
      </c>
      <c r="D6" s="80" t="s">
        <v>941</v>
      </c>
      <c r="E6" s="79" t="s">
        <v>1108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1109</v>
      </c>
      <c r="M6" s="83" t="s">
        <v>572</v>
      </c>
      <c r="N6" s="84" t="s">
        <v>935</v>
      </c>
      <c r="O6" s="162" t="s">
        <v>978</v>
      </c>
      <c r="P6" s="136" t="s">
        <v>1110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>
        <f>IF(SP_NORTE!BH30="","*",SP_NORTE!BH30)</f>
        <v>0</v>
      </c>
      <c r="P30" s="151" t="str">
        <f>IF($A$2=1,IF(SP_NORTE!BJ30="","*",SP_NORTE!BJ30),IF(SP_NORTE!BK30="","*",SP_NORTE!BK30))</f>
        <v xml:space="preserve">TP pronta 07:30, não solicitou devido chuva no local 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>
        <f>IF(SP_NORTE!BH31="","*",SP_NORTE!BH31)</f>
        <v>0</v>
      </c>
      <c r="P31" s="151" t="str">
        <f>IF($A$2=1,IF(SP_NORTE!BJ31="","*",SP_NORTE!BJ31),IF(SP_NORTE!BK31="","*",SP_NORTE!BK31))</f>
        <v xml:space="preserve">Não solicitou devido sem  O.S de trabalho 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 xml:space="preserve">Maquinista em deslocamento ZMA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46057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TMI-ZEB</v>
      </c>
      <c r="E39" s="86" t="str">
        <f>IF(SP_NORTE!D46="","*",SP_NORTE!D46)</f>
        <v>W57</v>
      </c>
      <c r="F39" s="86" t="str">
        <f>IF(SP_NORTE!H46="","*",SP_NORTE!H46)</f>
        <v>ZJA2</v>
      </c>
      <c r="G39" s="86" t="str">
        <f>IF(SP_NORTE!M46="","*",SP_NORTE!M46)</f>
        <v>ZJA-ZUR</v>
      </c>
      <c r="H39" s="119">
        <f>IF(SP_NORTE!K46="","*",SP_NORTE!K46)</f>
        <v>379</v>
      </c>
      <c r="I39" s="116">
        <f>IF(SP_NORTE!O46="","*",SP_NORTE!O46)</f>
        <v>0.375</v>
      </c>
      <c r="J39" s="116">
        <f>IF(SP_NORTE!P46="","*",SP_NORTE!P46)</f>
        <v>8.3333333333333329E-2</v>
      </c>
      <c r="K39" s="86" t="str">
        <f>IF(SP_NORTE!AK46="","*",SP_NORTE!AK46)</f>
        <v>ZJA2</v>
      </c>
      <c r="L39" s="86" t="str">
        <f>IF(SP_NORTE!AM46="","*",SP_NORTE!AM46)</f>
        <v>ZJA-ZUR</v>
      </c>
      <c r="M39" s="86">
        <f>IF(SP_NORTE!AP46="","*",SP_NORTE!AP46)</f>
        <v>379</v>
      </c>
      <c r="N39" s="86" t="str">
        <f>IF(SP_NORTE!AM46="","*",SP_NORTE!AM46)</f>
        <v>ZJA-ZUR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>
        <f>IF(SP_NORTE!B47="","*",SP_NORTE!B47)</f>
        <v>46057</v>
      </c>
      <c r="B40" s="86" t="str">
        <f>IF(SP_NORTE!X47="","*",SP_NORTE!X47)</f>
        <v>Oportunidade</v>
      </c>
      <c r="C40" s="86" t="str">
        <f>IF(SP_NORTE!S47="","*",SP_NORTE!S47)</f>
        <v>SP NORTE</v>
      </c>
      <c r="D40" s="86" t="str">
        <f>IF(SP_NORTE!T47="","*",SP_NORTE!T47)</f>
        <v>TMI-ZEB</v>
      </c>
      <c r="E40" s="86" t="str">
        <f>IF(SP_NORTE!D47="","*",SP_NORTE!D47)</f>
        <v>A63</v>
      </c>
      <c r="F40" s="86" t="str">
        <f>IF(SP_NORTE!H47="","*",SP_NORTE!H47)</f>
        <v>ZVP2</v>
      </c>
      <c r="G40" s="86" t="str">
        <f>IF(SP_NORTE!M47="","*",SP_NORTE!M47)</f>
        <v>ZVP-ZRU</v>
      </c>
      <c r="H40" s="119">
        <f>IF(SP_NORTE!K47="","*",SP_NORTE!K47)</f>
        <v>306</v>
      </c>
      <c r="I40" s="116">
        <f>IF(SP_NORTE!O47="","*",SP_NORTE!O47)</f>
        <v>0.33333333333333331</v>
      </c>
      <c r="J40" s="116">
        <f>IF(SP_NORTE!P47="","*",SP_NORTE!P47)</f>
        <v>4.1666666666666664E-2</v>
      </c>
      <c r="K40" s="86" t="str">
        <f>IF(SP_NORTE!AK47="","*",SP_NORTE!AK47)</f>
        <v>ZVP2</v>
      </c>
      <c r="L40" s="86" t="str">
        <f>IF(SP_NORTE!AM47="","*",SP_NORTE!AM47)</f>
        <v>ZVP-ZRU</v>
      </c>
      <c r="M40" s="86">
        <f>IF(SP_NORTE!AP47="","*",SP_NORTE!AP47)</f>
        <v>306</v>
      </c>
      <c r="N40" s="86" t="str">
        <f>IF(SP_NORTE!AM47="","*",SP_NORTE!AM47)</f>
        <v>ZVP-ZRU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>
        <f>IF(SP_NORTE!B49="","*",SP_NORTE!B49)</f>
        <v>46057</v>
      </c>
      <c r="B41" s="86" t="str">
        <f>IF(SP_NORTE!X49="","*",SP_NORTE!X49)</f>
        <v>Oportunidade</v>
      </c>
      <c r="C41" s="86" t="str">
        <f>IF(SP_NORTE!S49="","*",SP_NORTE!S49)</f>
        <v>SP NORTE</v>
      </c>
      <c r="D41" s="86" t="str">
        <f>IF(SP_NORTE!T49="","*",SP_NORTE!T49)</f>
        <v>TMI-ZEB</v>
      </c>
      <c r="E41" s="86" t="str">
        <f>IF(SP_NORTE!D49="","*",SP_NORTE!D49)</f>
        <v>JOVÂNIO (TP-850)</v>
      </c>
      <c r="F41" s="86" t="str">
        <f>IF(SP_NORTE!H49="","*",SP_NORTE!H49)</f>
        <v>-</v>
      </c>
      <c r="G41" s="86" t="str">
        <f>IF(SP_NORTE!M49="","*",SP_NORTE!M49)</f>
        <v>ZEC-ZKY</v>
      </c>
      <c r="H41" s="119">
        <f>IF(SP_NORTE!K49="","*",SP_NORTE!K49)</f>
        <v>265.7</v>
      </c>
      <c r="I41" s="116">
        <f>IF(SP_NORTE!O49="","*",SP_NORTE!O49)</f>
        <v>0.375</v>
      </c>
      <c r="J41" s="116">
        <f>IF(SP_NORTE!P49="","*",SP_NORTE!P49)</f>
        <v>6.25E-2</v>
      </c>
      <c r="K41" s="86" t="str">
        <f>IF(SP_NORTE!AK49="","*",SP_NORTE!AK49)</f>
        <v>-</v>
      </c>
      <c r="L41" s="86" t="str">
        <f>IF(SP_NORTE!AM49="","*",SP_NORTE!AM49)</f>
        <v>ZEC-ZKY</v>
      </c>
      <c r="M41" s="86">
        <f>IF(SP_NORTE!AP49="","*",SP_NORTE!AP49)</f>
        <v>265.7</v>
      </c>
      <c r="N41" s="86" t="str">
        <f>IF(SP_NORTE!AM49="","*",SP_NORTE!AM49)</f>
        <v>ZEC-ZKY</v>
      </c>
      <c r="O41" s="113" t="str">
        <f>IF(SP_NORTE!BH49="","*",SP_NORTE!BH49)</f>
        <v>*</v>
      </c>
      <c r="P41" s="151" t="str">
        <f>IF($A$2=1,IF(SP_NORTE!BJ49="","*",SP_NORTE!BJ49),IF(SP_NORTE!BK49="","*",SP_NORTE!BK49))</f>
        <v>*</v>
      </c>
    </row>
    <row r="42" spans="1:16">
      <c r="A42" s="85" t="e">
        <f>IF(SP_NORTE!#REF!="","*",SP_NORTE!#REF!)</f>
        <v>#REF!</v>
      </c>
      <c r="B42" s="86" t="e">
        <f>IF(SP_NORTE!#REF!="","*",SP_NORTE!#REF!)</f>
        <v>#REF!</v>
      </c>
      <c r="C42" s="86" t="e">
        <f>IF(SP_NORTE!#REF!="","*",SP_NORTE!#REF!)</f>
        <v>#REF!</v>
      </c>
      <c r="D42" s="86" t="e">
        <f>IF(SP_NORTE!#REF!="","*",SP_NORTE!#REF!)</f>
        <v>#REF!</v>
      </c>
      <c r="E42" s="86" t="e">
        <f>IF(SP_NORTE!#REF!="","*",SP_NORTE!#REF!)</f>
        <v>#REF!</v>
      </c>
      <c r="F42" s="86" t="e">
        <f>IF(SP_NORTE!#REF!="","*",SP_NORTE!#REF!)</f>
        <v>#REF!</v>
      </c>
      <c r="G42" s="86" t="e">
        <f>IF(SP_NORTE!#REF!="","*",SP_NORTE!#REF!)</f>
        <v>#REF!</v>
      </c>
      <c r="H42" s="119" t="e">
        <f>IF(SP_NORTE!#REF!="","*",SP_NORTE!#REF!)</f>
        <v>#REF!</v>
      </c>
      <c r="I42" s="116" t="e">
        <f>IF(SP_NORTE!#REF!="","*",SP_NORTE!#REF!)</f>
        <v>#REF!</v>
      </c>
      <c r="J42" s="116" t="e">
        <f>IF(SP_NORTE!#REF!="","*",SP_NORTE!#REF!)</f>
        <v>#REF!</v>
      </c>
      <c r="K42" s="86" t="e">
        <f>IF(SP_NORTE!#REF!="","*",SP_NORTE!#REF!)</f>
        <v>#REF!</v>
      </c>
      <c r="L42" s="86" t="e">
        <f>IF(SP_NORTE!#REF!="","*",SP_NORTE!#REF!)</f>
        <v>#REF!</v>
      </c>
      <c r="M42" s="86" t="e">
        <f>IF(SP_NORTE!#REF!="","*",SP_NORTE!#REF!)</f>
        <v>#REF!</v>
      </c>
      <c r="N42" s="86" t="e">
        <f>IF(SP_NORTE!#REF!="","*",SP_NORTE!#REF!)</f>
        <v>#REF!</v>
      </c>
      <c r="O42" s="113" t="e">
        <f>IF(SP_NORTE!#REF!="","*",SP_NORTE!#REF!)</f>
        <v>#REF!</v>
      </c>
      <c r="P42" s="151" t="e">
        <f>IF($A$2=1,IF(SP_NORTE!#REF!="","*",SP_NORTE!#REF!),IF(SP_NORTE!#REF!="","*",SP_NORTE!#REF!))</f>
        <v>#REF!</v>
      </c>
    </row>
    <row r="43" spans="1:16">
      <c r="A43" s="85" t="str">
        <f>IF(SP_NORTE!B50="","*",SP_NORTE!B50)</f>
        <v>*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ZEB-ZCZ</v>
      </c>
      <c r="E43" s="86" t="str">
        <f>IF(SP_NORTE!D50="","*",SP_NORTE!D50)</f>
        <v>W54</v>
      </c>
      <c r="F43" s="86" t="str">
        <f>IF(SP_NORTE!H50="","*",SP_NORTE!H50)</f>
        <v>ZRU2</v>
      </c>
      <c r="G43" s="86" t="str">
        <f>IF(SP_NORTE!M50="","*",SP_NORTE!M50)</f>
        <v>ZRU-ZPN</v>
      </c>
      <c r="H43" s="119">
        <f>IF(SP_NORTE!K50="","*",SP_NORTE!K50)</f>
        <v>202</v>
      </c>
      <c r="I43" s="116">
        <f>IF(SP_NORTE!O50="","*",SP_NORTE!O50)</f>
        <v>0.375</v>
      </c>
      <c r="J43" s="116">
        <f>IF(SP_NORTE!P50="","*",SP_NORTE!P50)</f>
        <v>4.1666666666666664E-2</v>
      </c>
      <c r="K43" s="86" t="str">
        <f>IF(SP_NORTE!AK50="","*",SP_NORTE!AK50)</f>
        <v>ZRU2</v>
      </c>
      <c r="L43" s="86" t="str">
        <f>IF(SP_NORTE!AM50="","*",SP_NORTE!AM50)</f>
        <v>ZRU-ZPN</v>
      </c>
      <c r="M43" s="86">
        <f>IF(SP_NORTE!AP50="","*",SP_NORTE!AP50)</f>
        <v>202</v>
      </c>
      <c r="N43" s="86" t="str">
        <f>IF(SP_NORTE!AM50="","*",SP_NORTE!AM50)</f>
        <v>ZRU-ZPN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>
        <f>IF(SP_NORTE!B51="","*",SP_NORTE!B51)</f>
        <v>46057</v>
      </c>
      <c r="B44" s="86" t="str">
        <f>IF(SP_NORTE!X51="","*",SP_NORTE!X51)</f>
        <v>Oportunidade</v>
      </c>
      <c r="C44" s="86" t="str">
        <f>IF(SP_NORTE!S51="","*",SP_NORTE!S51)</f>
        <v>SP NORTE</v>
      </c>
      <c r="D44" s="86" t="str">
        <f>IF(SP_NORTE!T51="","*",SP_NORTE!T51)</f>
        <v>ZEB-ZCZ</v>
      </c>
      <c r="E44" s="86" t="str">
        <f>IF(SP_NORTE!D51="","*",SP_NORTE!D51)</f>
        <v>V88</v>
      </c>
      <c r="F44" s="86" t="str">
        <f>IF(SP_NORTE!H51="","*",SP_NORTE!H51)</f>
        <v>ZPN2</v>
      </c>
      <c r="G44" s="86" t="str">
        <f>IF(SP_NORTE!M51="","*",SP_NORTE!M51)</f>
        <v>ZCV-ZCT</v>
      </c>
      <c r="H44" s="119">
        <f>IF(SP_NORTE!K51="","*",SP_NORTE!K51)</f>
        <v>153.80000000000001</v>
      </c>
      <c r="I44" s="116">
        <f>IF(SP_NORTE!O51="","*",SP_NORTE!O51)</f>
        <v>0.35416666666666669</v>
      </c>
      <c r="J44" s="116">
        <f>IF(SP_NORTE!P51="","*",SP_NORTE!P51)</f>
        <v>0.125</v>
      </c>
      <c r="K44" s="86" t="str">
        <f>IF(SP_NORTE!AK51="","*",SP_NORTE!AK51)</f>
        <v>ZPN2</v>
      </c>
      <c r="L44" s="86" t="str">
        <f>IF(SP_NORTE!AM51="","*",SP_NORTE!AM51)</f>
        <v>ZCV-ZCT</v>
      </c>
      <c r="M44" s="86">
        <f>IF(SP_NORTE!AP51="","*",SP_NORTE!AP51)</f>
        <v>153.80000000000001</v>
      </c>
      <c r="N44" s="86" t="str">
        <f>IF(SP_NORTE!AM51="","*",SP_NORTE!AM51)</f>
        <v>ZCV-ZCT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>
        <f>IF(SP_NORTE!B52="","*",SP_NORTE!B52)</f>
        <v>46057</v>
      </c>
      <c r="B45" s="86" t="str">
        <f>IF(SP_NORTE!X52="","*",SP_NORTE!X52)</f>
        <v>Oportunidade</v>
      </c>
      <c r="C45" s="86" t="str">
        <f>IF(SP_NORTE!S52="","*",SP_NORTE!S52)</f>
        <v>SP NORTE</v>
      </c>
      <c r="D45" s="86" t="str">
        <f>IF(SP_NORTE!T52="","*",SP_NORTE!T52)</f>
        <v>ZEB-ZCZ</v>
      </c>
      <c r="E45" s="86" t="str">
        <f>IF(SP_NORTE!D52="","*",SP_NORTE!D52)</f>
        <v>PEDRO (TP-696)</v>
      </c>
      <c r="F45" s="86" t="str">
        <f>IF(SP_NORTE!H52="","*",SP_NORTE!H52)</f>
        <v>-</v>
      </c>
      <c r="G45" s="86" t="str">
        <f>IF(SP_NORTE!M52="","*",SP_NORTE!M52)</f>
        <v>ZCZ-ZZF</v>
      </c>
      <c r="H45" s="119">
        <f>IF(SP_NORTE!K52="","*",SP_NORTE!K52)</f>
        <v>102</v>
      </c>
      <c r="I45" s="116">
        <f>IF(SP_NORTE!O52="","*",SP_NORTE!O52)</f>
        <v>0.375</v>
      </c>
      <c r="J45" s="116">
        <f>IF(SP_NORTE!P52="","*",SP_NORTE!P52)</f>
        <v>6.25E-2</v>
      </c>
      <c r="K45" s="86" t="str">
        <f>IF(SP_NORTE!AK52="","*",SP_NORTE!AK52)</f>
        <v>-</v>
      </c>
      <c r="L45" s="86" t="str">
        <f>IF(SP_NORTE!AM52="","*",SP_NORTE!AM52)</f>
        <v>ZCZ-ZZF</v>
      </c>
      <c r="M45" s="86">
        <f>IF(SP_NORTE!AP52="","*",SP_NORTE!AP52)</f>
        <v>102</v>
      </c>
      <c r="N45" s="86" t="str">
        <f>IF(SP_NORTE!AM52="","*",SP_NORTE!AM52)</f>
        <v>ZCZ-ZZF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925</v>
      </c>
      <c r="D2" s="79" t="s">
        <v>927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46057</v>
      </c>
      <c r="D35" s="97" t="str">
        <f>IF(SP_NORTE!D46="","*",SP_NORTE!D46)</f>
        <v>W57</v>
      </c>
      <c r="E35" s="97" t="str">
        <f>IF(SP_NORTE!H46="","*",SP_NORTE!H46)</f>
        <v>ZJA2</v>
      </c>
      <c r="F35" s="103" t="str">
        <f>IF(SP_NORTE!M46="","*",SP_NORTE!M46)</f>
        <v>ZJA-ZUR</v>
      </c>
      <c r="G35" s="98" t="str">
        <f>IF(SP_NORTE!I46="","*",SP_NORTE!I46)</f>
        <v>ZJA2</v>
      </c>
      <c r="H35" s="98" t="str">
        <f>IF(SP_NORTE!AB46="","*",SP_NORTE!AB46)</f>
        <v>FIXO</v>
      </c>
      <c r="I35" s="98" t="str">
        <f>IF(SP_NORTE!AC46="","*",SP_NORTE!AC46)</f>
        <v>ACIONAMENTO</v>
      </c>
      <c r="J35" s="99" t="str">
        <f>IF(SP_NORTE!AA46="","*",SP_NORTE!AA46)</f>
        <v>Clayton + Larocca</v>
      </c>
      <c r="K35" s="100">
        <f>IF(SP_NORTE!AD46="","*",SP_NORTE!AD46)</f>
        <v>0.33333333333333331</v>
      </c>
    </row>
    <row r="36" spans="2:11" hidden="1">
      <c r="B36" s="97" t="str">
        <f>IF(SP_NORTE!Y47="","*",SP_NORTE!Y47)</f>
        <v>*</v>
      </c>
      <c r="C36" s="98">
        <f>IF(SP_NORTE!B47="","*",SP_NORTE!B47)</f>
        <v>46057</v>
      </c>
      <c r="D36" s="97" t="str">
        <f>IF(SP_NORTE!D47="","*",SP_NORTE!D47)</f>
        <v>A63</v>
      </c>
      <c r="E36" s="97" t="str">
        <f>IF(SP_NORTE!H47="","*",SP_NORTE!H47)</f>
        <v>ZVP2</v>
      </c>
      <c r="F36" s="103" t="str">
        <f>IF(SP_NORTE!M47="","*",SP_NORTE!M47)</f>
        <v>ZVP-ZRU</v>
      </c>
      <c r="G36" s="98" t="str">
        <f>IF(SP_NORTE!I47="","*",SP_NORTE!I47)</f>
        <v>ZRU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IF(SP_NORTE!Y49="","*",SP_NORTE!Y49)</f>
        <v>*</v>
      </c>
      <c r="C37" s="98">
        <f>IF(SP_NORTE!B49="","*",SP_NORTE!B49)</f>
        <v>46057</v>
      </c>
      <c r="D37" s="97" t="str">
        <f>IF(SP_NORTE!D49="","*",SP_NORTE!D49)</f>
        <v>JOVÂNIO (TP-850)</v>
      </c>
      <c r="E37" s="97" t="str">
        <f>IF(SP_NORTE!H49="","*",SP_NORTE!H49)</f>
        <v>-</v>
      </c>
      <c r="F37" s="103" t="str">
        <f>IF(SP_NORTE!M49="","*",SP_NORTE!M49)</f>
        <v>ZEC-ZKY</v>
      </c>
      <c r="G37" s="98" t="str">
        <f>IF(SP_NORTE!I49="","*",SP_NORTE!I49)</f>
        <v>-</v>
      </c>
      <c r="H37" s="98" t="str">
        <f>IF(SP_NORTE!AB49="","*",SP_NORTE!AB49)</f>
        <v>*</v>
      </c>
      <c r="I37" s="98" t="str">
        <f>IF(SP_NORTE!AC49="","*",SP_NORTE!AC49)</f>
        <v>*</v>
      </c>
      <c r="J37" s="99" t="str">
        <f>IF(SP_NORTE!AA49="","*",SP_NORTE!AA49)</f>
        <v>*</v>
      </c>
      <c r="K37" s="100" t="str">
        <f>IF(SP_NORTE!AD49="","*",SP_NORTE!AD49)</f>
        <v>*</v>
      </c>
    </row>
    <row r="38" spans="2:11" hidden="1">
      <c r="B38" s="97" t="e">
        <f>IF(SP_NORTE!#REF!="","*",SP_NORTE!#REF!)</f>
        <v>#REF!</v>
      </c>
      <c r="C38" s="98" t="e">
        <f>IF(SP_NORTE!#REF!="","*",SP_NORTE!#REF!)</f>
        <v>#REF!</v>
      </c>
      <c r="D38" s="97" t="e">
        <f>IF(SP_NORTE!#REF!="","*",SP_NORTE!#REF!)</f>
        <v>#REF!</v>
      </c>
      <c r="E38" s="97" t="e">
        <f>IF(SP_NORTE!#REF!="","*",SP_NORTE!#REF!)</f>
        <v>#REF!</v>
      </c>
      <c r="F38" s="103" t="e">
        <f>IF(SP_NORTE!#REF!="","*",SP_NORTE!#REF!)</f>
        <v>#REF!</v>
      </c>
      <c r="G38" s="98" t="e">
        <f>IF(SP_NORTE!#REF!="","*",SP_NORTE!#REF!)</f>
        <v>#REF!</v>
      </c>
      <c r="H38" s="98" t="e">
        <f>IF(SP_NORTE!#REF!="","*",SP_NORTE!#REF!)</f>
        <v>#REF!</v>
      </c>
      <c r="I38" s="98" t="e">
        <f>IF(SP_NORTE!#REF!="","*",SP_NORTE!#REF!)</f>
        <v>#REF!</v>
      </c>
      <c r="J38" s="99" t="e">
        <f>IF(SP_NORTE!#REF!="","*",SP_NORTE!#REF!)</f>
        <v>#REF!</v>
      </c>
      <c r="K38" s="100" t="e">
        <f>IF(SP_NORTE!#REF!="","*",SP_NORTE!#REF!)</f>
        <v>#REF!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W54</v>
      </c>
      <c r="E39" s="97" t="str">
        <f>IF(SP_NORTE!H50="","*",SP_NORTE!H50)</f>
        <v>ZRU2</v>
      </c>
      <c r="F39" s="103" t="str">
        <f>IF(SP_NORTE!M50="","*",SP_NORTE!M50)</f>
        <v>ZRU-ZPN</v>
      </c>
      <c r="G39" s="98" t="str">
        <f>IF(SP_NORTE!I50="","*",SP_NORTE!I50)</f>
        <v>*</v>
      </c>
      <c r="H39" s="98" t="str">
        <f>IF(SP_NORTE!AB50="","*",SP_NORTE!AB50)</f>
        <v>ESCALA</v>
      </c>
      <c r="I39" s="98" t="str">
        <f>IF(SP_NORTE!AC50="","*",SP_NORTE!AC50)</f>
        <v>AGD ACIONAMENTO PCM</v>
      </c>
      <c r="J39" s="99" t="str">
        <f>IF(SP_NORTE!AA50="","*",SP_NORTE!AA50)</f>
        <v>2 Maq. Escala 11HRS</v>
      </c>
      <c r="K39" s="100">
        <f>IF(SP_NORTE!AD50="","*",SP_NORTE!AD50)</f>
        <v>0.45833333333333331</v>
      </c>
    </row>
    <row r="40" spans="2:11" hidden="1">
      <c r="B40" s="97" t="str">
        <f>IF(SP_NORTE!Y51="","*",SP_NORTE!Y51)</f>
        <v>*</v>
      </c>
      <c r="C40" s="98">
        <f>IF(SP_NORTE!B51="","*",SP_NORTE!B51)</f>
        <v>46057</v>
      </c>
      <c r="D40" s="97" t="str">
        <f>IF(SP_NORTE!D51="","*",SP_NORTE!D51)</f>
        <v>V88</v>
      </c>
      <c r="E40" s="97" t="str">
        <f>IF(SP_NORTE!H51="","*",SP_NORTE!H51)</f>
        <v>ZPN2</v>
      </c>
      <c r="F40" s="103" t="str">
        <f>IF(SP_NORTE!M51="","*",SP_NORTE!M51)</f>
        <v>ZCV-ZCT</v>
      </c>
      <c r="G40" s="98" t="str">
        <f>IF(SP_NORTE!I51="","*",SP_NORTE!I51)</f>
        <v>ZPN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>
        <f>IF(SP_NORTE!B52="","*",SP_NORTE!B52)</f>
        <v>46057</v>
      </c>
      <c r="D41" s="97" t="str">
        <f>IF(SP_NORTE!D52="","*",SP_NORTE!D52)</f>
        <v>PEDRO (TP-696)</v>
      </c>
      <c r="E41" s="97" t="str">
        <f>IF(SP_NORTE!H52="","*",SP_NORTE!H52)</f>
        <v>-</v>
      </c>
      <c r="F41" s="103" t="str">
        <f>IF(SP_NORTE!M52="","*",SP_NORTE!M52)</f>
        <v>ZCZ-ZZF</v>
      </c>
      <c r="G41" s="98" t="str">
        <f>IF(SP_NORTE!I52="","*",SP_NORTE!I52)</f>
        <v>-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2026-02-03T14:36:50Z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