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31" documentId="8_{B6337239-1A00-434D-AAD0-422EA1FEB5AE}" xr6:coauthVersionLast="47" xr6:coauthVersionMax="47" xr10:uidLastSave="{0948802A-B516-4750-A975-185630771B0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1" i="1" l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8" i="1" l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<sst xmlns="http://schemas.openxmlformats.org/spreadsheetml/2006/main" count="4909" uniqueCount="1362">
  <si>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</si>
  <si>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</si>
  <si>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</si>
  <si>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</si>
  <si>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</si>
  <si>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</si>
  <si>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</si>
  <si>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</si>
  <si>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</si>
  <si>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</si>
  <si>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</si>
  <si>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</si>
  <si>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</si>
  <si>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</si>
  <si>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</si>
  <si>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</si>
  <si>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</si>
  <si>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</si>
  <si>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</si>
  <si>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</si>
  <si>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</si>
  <si>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</si>
  <si>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</si>
  <si>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</si>
  <si>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</si>
  <si>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</si>
  <si>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</si>
  <si>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</si>
  <si>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</si>
  <si>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</si>
  <si>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</si>
  <si>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</si>
  <si>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</si>
  <si>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</si>
  <si>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</si>
  <si>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</si>
  <si>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</si>
  <si>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</si>
  <si>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</si>
  <si>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</si>
  <si>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</si>
  <si>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</si>
  <si>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</si>
  <si>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</si>
  <si>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</si>
  <si>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</si>
  <si>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</si>
  <si>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</si>
  <si>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</si>
  <si>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</si>
  <si>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</si>
  <si>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</si>
  <si>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</si>
  <si>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</si>
  <si>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</si>
  <si>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</si>
  <si>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</si>
  <si>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</si>
  <si>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</si>
  <si>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</si>
  <si>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</si>
  <si>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</si>
  <si>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</si>
  <si>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</si>
  <si>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</si>
  <si>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</si>
  <si>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</si>
  <si>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</si>
  <si>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</si>
  <si>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</si>
  <si>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</si>
  <si>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</si>
  <si>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</si>
  <si>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</si>
  <si>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</si>
  <si>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</si>
  <si>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</si>
  <si>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</si>
  <si>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</si>
  <si>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</si>
  <si>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</si>
  <si>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</si>
  <si>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</si>
  <si>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</si>
  <si>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</si>
  <si>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</si>
  <si>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</si>
  <si>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</si>
  <si>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</si>
  <si>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</si>
  <si>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</si>
  <si>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</si>
  <si>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</si>
  <si>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</si>
  <si>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</si>
  <si>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</si>
  <si>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</si>
  <si>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</si>
  <si>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</si>
  <si>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</si>
  <si>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</si>
  <si>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</si>
  <si>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</si>
  <si>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</si>
  <si>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</si>
  <si>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</si>
  <si>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</si>
  <si>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</si>
  <si>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</si>
  <si>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</si>
  <si>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</si>
  <si>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</si>
  <si>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</si>
  <si>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</si>
  <si>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</si>
  <si>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</si>
  <si>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</si>
  <si>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</si>
  <si>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</si>
  <si>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</si>
  <si>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</si>
  <si>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</si>
  <si>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</si>
  <si>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</si>
  <si>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</si>
  <si>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</si>
  <si>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</si>
  <si>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</si>
  <si>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</si>
  <si>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</si>
  <si>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</si>
  <si>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</si>
  <si>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</si>
  <si>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</si>
  <si>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</si>
  <si>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</si>
  <si>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</si>
  <si>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</si>
  <si>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</si>
  <si>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</si>
  <si>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</si>
  <si>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</si>
  <si>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</si>
  <si>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</si>
  <si>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</si>
  <si>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</si>
  <si>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</si>
  <si>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</si>
  <si>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</si>
  <si>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</si>
  <si>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</si>
  <si>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</si>
  <si>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</si>
  <si>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</si>
  <si>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</si>
  <si>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</si>
  <si>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</si>
  <si>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</si>
  <si>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</si>
  <si>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</si>
  <si>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</si>
  <si>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</si>
  <si>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</si>
  <si>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</si>
  <si>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</si>
  <si>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</si>
  <si>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</si>
  <si>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</si>
  <si>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</si>
  <si>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</si>
  <si>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</si>
  <si>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</si>
  <si>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</si>
  <si>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</si>
  <si>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</si>
  <si>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</si>
  <si>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</si>
  <si>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</si>
  <si>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</si>
  <si>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</si>
  <si>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</si>
  <si>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</si>
  <si>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</si>
  <si>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</si>
  <si>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</si>
  <si>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</si>
  <si>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</si>
  <si>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</si>
  <si>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</si>
  <si>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</si>
  <si>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</si>
  <si>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</si>
  <si>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</si>
  <si>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</si>
  <si>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</si>
  <si>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</si>
  <si>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</si>
  <si>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</si>
  <si>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</si>
  <si>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</si>
  <si>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</si>
  <si>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</si>
  <si>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</si>
  <si>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</si>
  <si>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</si>
  <si>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</si>
  <si>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</si>
  <si>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</si>
  <si>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</si>
  <si>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</si>
  <si>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</si>
  <si>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</si>
  <si>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</si>
  <si>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</si>
  <si>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</si>
  <si>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</si>
  <si>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</si>
  <si>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</si>
  <si>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</si>
  <si>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</si>
  <si>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</si>
  <si>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</si>
  <si>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</si>
  <si>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</si>
  <si>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</si>
  <si>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</si>
  <si>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</si>
  <si>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</si>
  <si>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</si>
  <si>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</si>
  <si>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</si>
  <si>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</si>
  <si>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</si>
  <si>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</si>
  <si>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</si>
  <si>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</si>
  <si>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</si>
  <si>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</si>
  <si>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</si>
  <si>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</si>
  <si>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</si>
  <si>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</si>
  <si>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</si>
  <si>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</si>
  <si>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</si>
  <si>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</si>
  <si>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</si>
  <si>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</si>
  <si>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</si>
  <si>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</si>
  <si>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</si>
  <si>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</si>
  <si>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</si>
  <si>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</si>
  <si>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</si>
  <si>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</si>
  <si>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</si>
  <si>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</si>
  <si>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</si>
  <si>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</si>
  <si>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</si>
  <si>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</si>
  <si>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</si>
  <si>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</si>
  <si>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</si>
  <si>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</si>
  <si>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</si>
  <si>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</si>
  <si>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</si>
  <si>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</si>
  <si>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</si>
  <si>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</si>
  <si>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</si>
  <si>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</si>
  <si>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</si>
  <si>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</si>
  <si>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</si>
  <si>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</si>
  <si>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</si>
  <si>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</si>
  <si>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</si>
  <si>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</si>
  <si>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</si>
  <si>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</si>
  <si>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</si>
  <si>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</si>
  <si>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</si>
  <si>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</si>
  <si>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</si>
  <si>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</si>
  <si>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</si>
  <si>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</si>
  <si>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</si>
  <si>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</si>
  <si>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</si>
  <si>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</si>
  <si>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</si>
  <si>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</si>
  <si>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</si>
  <si>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</si>
  <si>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</si>
  <si>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</si>
  <si>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</si>
  <si>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</si>
  <si>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</si>
  <si>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</si>
  <si>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</si>
  <si>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</si>
  <si>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</si>
  <si>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</si>
  <si>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</si>
  <si>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</si>
  <si>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</si>
  <si>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</si>
  <si>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</si>
  <si>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</si>
  <si>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</si>
  <si>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</si>
  <si>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</si>
  <si>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</si>
  <si>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</si>
  <si>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</si>
  <si>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</si>
  <si>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</si>
  <si>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</si>
  <si>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</si>
  <si>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</si>
  <si>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</si>
  <si>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</si>
  <si>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</si>
  <si>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</si>
  <si>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</si>
  <si>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</si>
  <si>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</si>
  <si>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</si>
  <si>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</si>
  <si>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</si>
  <si>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</si>
  <si>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</si>
  <si>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</si>
  <si>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</si>
  <si>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</si>
  <si>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</si>
  <si>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</si>
  <si>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</si>
  <si>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</si>
  <si>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</si>
  <si>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</si>
  <si>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</si>
  <si>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</si>
  <si>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</si>
  <si>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</si>
  <si>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</si>
  <si>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</si>
  <si>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</si>
  <si>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</si>
  <si>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</si>
  <si>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</si>
  <si>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</si>
  <si>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</si>
  <si>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</si>
  <si>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</si>
  <si>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</si>
  <si>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</si>
  <si>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</si>
  <si>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</si>
  <si>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</si>
  <si>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</si>
  <si>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</si>
  <si>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</si>
  <si>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</si>
  <si>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</si>
  <si>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</si>
  <si>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</si>
  <si>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</si>
  <si>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</si>
  <si>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</si>
  <si>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</si>
  <si>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</si>
  <si>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</si>
  <si>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</si>
  <si>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</si>
  <si>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</si>
  <si>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</si>
  <si>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</si>
  <si>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</si>
  <si>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</si>
  <si>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</si>
  <si>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</si>
  <si>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</si>
  <si>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</si>
  <si>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</si>
  <si>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</si>
  <si>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</si>
  <si>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</si>
  <si>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</si>
  <si>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</si>
  <si>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</si>
  <si>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</si>
  <si>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</si>
  <si>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</si>
  <si>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</si>
  <si>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</si>
  <si>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</si>
  <si>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</si>
  <si>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</si>
  <si>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</si>
  <si>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</si>
  <si>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</si>
  <si>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</si>
  <si>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</si>
  <si>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</si>
  <si>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</si>
  <si>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</si>
  <si>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</si>
  <si>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</si>
  <si>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</si>
  <si>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</si>
  <si>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</si>
  <si>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</si>
  <si>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</si>
  <si>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</si>
  <si>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</si>
  <si>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</si>
  <si>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</si>
  <si>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</si>
  <si>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</si>
  <si>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</si>
  <si>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</si>
  <si>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</si>
  <si>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</si>
  <si>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</si>
  <si>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</si>
  <si>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</si>
  <si>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</si>
  <si>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</si>
  <si>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</si>
  <si>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</si>
  <si>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</si>
  <si>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</si>
  <si>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</si>
  <si>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</si>
  <si>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</si>
  <si>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</si>
  <si>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</si>
  <si>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</si>
  <si>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</si>
  <si>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</si>
  <si>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</si>
  <si>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</si>
  <si>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</si>
  <si>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</si>
  <si>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</si>
  <si>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</si>
  <si>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</si>
  <si>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</si>
  <si>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</si>
  <si>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</si>
  <si>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</si>
  <si>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</si>
  <si>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</si>
  <si>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</si>
  <si>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</si>
  <si>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</si>
  <si>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</si>
  <si>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</si>
  <si>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</si>
  <si>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</si>
  <si>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</si>
  <si>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</si>
  <si>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</si>
  <si>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</si>
  <si>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</si>
  <si>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</si>
  <si>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</si>
  <si>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</si>
  <si>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</si>
  <si>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</si>
  <si>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</si>
  <si>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</si>
  <si>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</si>
  <si>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</si>
  <si>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</si>
  <si>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</si>
  <si>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</si>
  <si>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</si>
  <si>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</si>
  <si>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</si>
  <si>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</si>
  <si>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</si>
  <si>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</si>
  <si>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</si>
  <si>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</si>
  <si>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</si>
  <si>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</si>
  <si>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</si>
  <si>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</si>
  <si>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</si>
  <si>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</si>
  <si>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</si>
  <si>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</si>
  <si>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</si>
  <si>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</si>
  <si>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</si>
  <si>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</si>
  <si>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</si>
  <si>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</si>
  <si>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</si>
  <si>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</si>
  <si>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</si>
  <si>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</si>
  <si>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</si>
  <si>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</si>
  <si>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</si>
  <si>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</si>
  <si>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</si>
  <si>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</si>
  <si>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</si>
  <si>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</si>
  <si>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</si>
  <si>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</si>
  <si>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</si>
  <si>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</si>
  <si>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</si>
  <si>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</si>
  <si>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</si>
  <si>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</si>
  <si>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</si>
  <si>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</si>
  <si>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</si>
  <si>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</si>
  <si>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</si>
  <si>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</si>
  <si>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</si>
  <si>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</si>
  <si>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</si>
  <si>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</si>
  <si>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</si>
  <si>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</si>
  <si>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</si>
  <si>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</si>
  <si>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</si>
  <si>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</si>
  <si>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</si>
  <si>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</si>
  <si>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</si>
  <si>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</si>
  <si>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</si>
  <si>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</si>
  <si>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</si>
  <si>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</si>
  <si>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</si>
  <si>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</si>
  <si>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</si>
  <si>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</si>
  <si>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</si>
  <si>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</si>
  <si>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</si>
  <si>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</si>
  <si>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</si>
  <si>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</si>
  <si>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</si>
  <si>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</si>
  <si>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</si>
  <si>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</si>
  <si>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</si>
  <si>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</si>
  <si>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</si>
  <si>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</si>
  <si>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</si>
  <si>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</si>
  <si>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</si>
  <si>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</si>
  <si>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</si>
  <si>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</si>
  <si>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</si>
  <si>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</si>
  <si>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</si>
  <si>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</si>
  <si>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</si>
  <si>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</si>
  <si>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</si>
  <si>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</si>
  <si>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</si>
  <si>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</si>
  <si>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</si>
  <si>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</si>
  <si>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</si>
  <si>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</si>
  <si>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</si>
  <si>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</si>
  <si>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</si>
  <si>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</si>
  <si>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</si>
  <si>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</si>
  <si>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</si>
  <si>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</si>
  <si>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</si>
  <si>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</si>
  <si>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</si>
  <si>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</si>
  <si>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</si>
  <si>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</si>
  <si>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</si>
  <si>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</si>
  <si>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</si>
  <si>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</si>
  <si>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</si>
  <si>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</si>
  <si>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</si>
  <si>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</si>
  <si>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</si>
  <si>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</si>
  <si>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</si>
  <si>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</si>
  <si>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</si>
  <si>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</si>
  <si>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</si>
  <si>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</si>
  <si>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</si>
  <si>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</si>
  <si>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</si>
  <si>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</si>
  <si>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</si>
  <si>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</si>
  <si>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</si>
  <si>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</si>
  <si>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</si>
  <si>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</si>
  <si>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</si>
  <si>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</si>
  <si>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</si>
  <si>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</si>
  <si>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</si>
  <si>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</si>
  <si>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</si>
  <si>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</si>
  <si>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</si>
  <si>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</si>
  <si>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</si>
  <si>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</si>
  <si>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</si>
  <si>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</si>
  <si>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</si>
  <si>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</si>
  <si>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</si>
  <si>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</si>
  <si>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</si>
  <si>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</si>
  <si>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</si>
  <si>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</si>
  <si>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</si>
  <si>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</si>
  <si>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</si>
  <si>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</si>
  <si>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</si>
  <si>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</si>
  <si>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</si>
  <si>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</si>
  <si>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</si>
  <si>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</si>
  <si>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</si>
  <si>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</si>
  <si>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</si>
  <si>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</si>
  <si>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</si>
  <si>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</si>
  <si>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</si>
  <si>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</si>
  <si>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</si>
  <si>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</si>
  <si>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</si>
  <si>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</si>
  <si>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</si>
  <si>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</si>
  <si>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</si>
  <si>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</si>
  <si>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</si>
  <si>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</si>
  <si>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</si>
  <si>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</si>
  <si>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</si>
  <si>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</si>
  <si>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</si>
  <si>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</si>
  <si>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</si>
  <si>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</si>
  <si>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</si>
  <si>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</si>
  <si>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</si>
  <si>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</si>
  <si>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</si>
  <si>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</si>
  <si>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</si>
  <si>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</si>
  <si>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</si>
  <si>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</si>
  <si>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</si>
  <si>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</si>
  <si>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</si>
  <si>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</si>
  <si>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</si>
  <si>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</si>
  <si>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</si>
  <si>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</si>
  <si>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</si>
  <si>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</si>
  <si>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</si>
  <si>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</si>
  <si>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</si>
  <si>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</si>
  <si>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</si>
  <si>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</si>
  <si>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</si>
  <si>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</si>
  <si>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</si>
  <si>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</si>
  <si>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</si>
  <si>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</si>
  <si>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</si>
  <si>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</si>
  <si>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</si>
  <si>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</si>
  <si>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</si>
  <si>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</si>
  <si>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</si>
  <si>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</si>
  <si>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</si>
  <si>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</si>
  <si>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</si>
  <si>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</si>
  <si>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</si>
  <si>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</si>
  <si>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</si>
  <si>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</si>
  <si>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</si>
  <si>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</si>
  <si>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</si>
  <si>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</si>
  <si>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</si>
  <si>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</si>
  <si>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</si>
  <si>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</si>
  <si>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</si>
  <si>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</si>
  <si>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</si>
  <si>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</si>
  <si>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</si>
  <si>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</si>
  <si>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</si>
  <si>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</si>
  <si>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</si>
  <si>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</si>
  <si>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</si>
  <si>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</si>
  <si>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</si>
  <si>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</si>
  <si>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</si>
  <si>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</si>
  <si>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</si>
  <si>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</si>
  <si>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</si>
  <si>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</si>
  <si>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</si>
  <si>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</si>
  <si>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</si>
  <si>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</si>
  <si>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</si>
  <si>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</si>
  <si>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</si>
  <si>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</si>
  <si>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</si>
  <si>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</si>
  <si>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</si>
  <si>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</si>
  <si>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</si>
  <si>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</si>
  <si>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</si>
  <si>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</si>
  <si>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</si>
  <si>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</si>
  <si>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</si>
  <si>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</si>
  <si>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</si>
  <si>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</si>
  <si>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</si>
  <si>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</si>
  <si>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</si>
  <si>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</si>
  <si>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</si>
  <si>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</si>
  <si>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</si>
  <si>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</si>
  <si>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</si>
  <si>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</si>
  <si>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</si>
  <si>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</si>
  <si>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</si>
  <si>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</si>
  <si>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</si>
  <si>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</si>
  <si>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</si>
  <si>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</si>
  <si>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</si>
  <si>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</si>
  <si>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</si>
  <si>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</si>
  <si>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</si>
  <si>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</si>
  <si>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</si>
  <si>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</si>
  <si>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</si>
  <si>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</si>
  <si>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</si>
  <si>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</si>
  <si>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</si>
  <si>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</si>
  <si>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</si>
  <si>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</si>
  <si>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</si>
  <si>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</si>
  <si>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</si>
  <si>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</si>
  <si>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</si>
  <si>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</si>
  <si>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</si>
  <si>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</si>
  <si>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</si>
  <si>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</si>
  <si>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</si>
  <si>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</si>
  <si>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</si>
  <si>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</si>
  <si>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</si>
  <si>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</si>
  <si>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</si>
  <si>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</si>
  <si>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</si>
  <si>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</si>
  <si>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</si>
  <si>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</si>
  <si>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</si>
  <si>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</si>
  <si>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</si>
  <si>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</si>
  <si>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</si>
  <si>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</si>
  <si>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</si>
  <si>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</si>
  <si>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</si>
  <si>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</si>
  <si>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</si>
  <si>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</si>
  <si>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</si>
  <si>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</si>
  <si>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</si>
  <si>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</si>
  <si>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</si>
  <si>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</si>
  <si>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</si>
  <si>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</si>
  <si>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</si>
  <si>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</si>
  <si>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</si>
  <si>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</si>
  <si>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</si>
  <si>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</si>
  <si>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</si>
  <si>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</si>
  <si>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</si>
  <si>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</si>
  <si>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</si>
  <si>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</si>
  <si>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</si>
  <si>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</si>
  <si>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</si>
  <si>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</si>
  <si>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</si>
  <si>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</si>
  <si>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</si>
  <si>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</si>
  <si>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</si>
  <si>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</si>
  <si>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</si>
  <si>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</si>
  <si>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</si>
  <si>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</si>
  <si>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</si>
  <si>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</si>
  <si>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</si>
  <si>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</si>
  <si>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</si>
  <si>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</si>
  <si>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</si>
  <si>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</si>
  <si>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</si>
  <si>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</si>
  <si>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</si>
  <si>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</si>
  <si>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</si>
  <si>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</si>
  <si>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</si>
  <si>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</si>
  <si>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</si>
  <si>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</si>
  <si>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</si>
  <si>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</si>
  <si>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</si>
  <si>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</si>
  <si>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</si>
  <si>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</si>
  <si>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</si>
  <si>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</si>
  <si>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</si>
  <si>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</si>
  <si>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</si>
  <si>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</si>
  <si>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</si>
  <si>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</si>
  <si>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</si>
  <si>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</si>
  <si>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</si>
  <si>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</si>
  <si>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</si>
  <si>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</si>
  <si>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</si>
  <si>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</si>
  <si>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</si>
  <si>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</si>
  <si>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</si>
  <si>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</si>
  <si>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</si>
  <si>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</si>
  <si>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</si>
  <si>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</si>
  <si>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</si>
  <si>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</si>
  <si>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</si>
  <si>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</si>
  <si>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</si>
  <si>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</si>
  <si>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</si>
  <si>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</si>
  <si>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</si>
  <si>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</si>
  <si>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</si>
  <si>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</si>
  <si>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</si>
  <si>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</si>
  <si>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</si>
  <si>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</si>
  <si>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</si>
  <si>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</si>
  <si>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</si>
  <si>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</si>
  <si>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</si>
  <si>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</si>
  <si>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</si>
  <si>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</si>
  <si>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</si>
  <si>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</si>
  <si>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</si>
  <si>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</si>
  <si>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</si>
  <si>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</si>
  <si>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</si>
  <si>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</si>
  <si>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</si>
  <si>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</si>
  <si>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</si>
  <si>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</si>
  <si>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</si>
  <si>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</si>
  <si>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</si>
  <si>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</si>
  <si>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</si>
  <si>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</si>
  <si>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</si>
  <si>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</si>
  <si>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</si>
  <si>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</si>
  <si>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</si>
  <si>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</si>
  <si>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</si>
  <si>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</si>
  <si>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</si>
  <si>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</si>
  <si>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</si>
  <si>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</si>
  <si>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</si>
  <si>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</si>
  <si>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</si>
  <si>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</si>
  <si>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</si>
  <si>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</si>
  <si>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</si>
  <si>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</si>
  <si>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</si>
  <si>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</si>
  <si>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</si>
  <si>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</si>
  <si>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</si>
  <si>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</si>
  <si>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</si>
  <si>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</si>
  <si>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</si>
  <si>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</si>
  <si>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</si>
  <si>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</si>
  <si>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</si>
  <si>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</si>
  <si>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</si>
  <si>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</si>
  <si>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</si>
  <si>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</si>
  <si>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</si>
  <si>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</si>
  <si>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</si>
  <si>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</si>
  <si>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</si>
  <si>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</si>
  <si>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</si>
  <si>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</si>
  <si>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</si>
  <si>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</si>
  <si>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</si>
  <si>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</si>
  <si>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</si>
  <si>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</si>
  <si>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</si>
  <si>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</si>
  <si>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</si>
  <si>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</si>
  <si>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</si>
  <si>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</si>
  <si>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</si>
  <si>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</si>
  <si>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</si>
  <si>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</si>
  <si>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</si>
  <si>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</si>
  <si>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</si>
  <si>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</si>
  <si>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</si>
  <si>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</si>
  <si>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</si>
  <si>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</si>
  <si>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</si>
  <si>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</si>
  <si>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</si>
  <si>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</si>
  <si>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</si>
  <si>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</si>
  <si>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</si>
  <si>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</si>
  <si>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</si>
  <si>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</si>
  <si>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</si>
  <si>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</si>
  <si>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</si>
  <si>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</si>
  <si>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</si>
  <si>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</si>
  <si>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</si>
  <si>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</si>
  <si>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</si>
  <si>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</si>
  <si>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</si>
  <si>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</si>
  <si>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</si>
  <si>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</si>
  <si>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</si>
  <si>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</si>
  <si>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</si>
  <si>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</si>
  <si>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</si>
  <si>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</si>
  <si>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</si>
  <si>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</si>
  <si>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</si>
  <si>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</si>
  <si>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</si>
  <si>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</si>
  <si>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</si>
  <si>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</si>
  <si>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</si>
  <si>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</si>
  <si>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</si>
  <si>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</si>
  <si>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</si>
  <si>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</si>
  <si>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</si>
  <si>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</si>
  <si>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</si>
  <si>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</si>
  <si>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</si>
  <si>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</si>
  <si>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</si>
  <si>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</si>
  <si>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</si>
  <si>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</si>
  <si>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</si>
  <si>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</si>
  <si>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</si>
  <si>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</si>
  <si>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</si>
  <si>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</si>
  <si>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</si>
  <si>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</si>
  <si>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</si>
  <si>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</si>
  <si>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</si>
  <si>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</si>
  <si>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</si>
  <si>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</si>
  <si>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</si>
  <si>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</si>
  <si>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</si>
  <si>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</si>
  <si>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</si>
  <si>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</si>
  <si>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</si>
  <si>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</si>
  <si>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</si>
  <si>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</si>
  <si>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</si>
  <si>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</si>
  <si>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</si>
  <si>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</si>
  <si>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</si>
  <si>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</si>
  <si>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</si>
  <si>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</si>
  <si>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</si>
  <si>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</si>
  <si>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</si>
  <si>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</si>
  <si>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</si>
  <si>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</si>
  <si>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</si>
  <si>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</si>
  <si>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</si>
  <si>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</si>
  <si>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</si>
  <si>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</si>
  <si>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</si>
  <si>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</si>
  <si>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</si>
  <si>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</si>
  <si>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</si>
  <si>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</si>
  <si>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</si>
  <si>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</si>
  <si>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</si>
  <si>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</si>
  <si>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</si>
  <si>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</si>
  <si>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</si>
  <si>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</si>
  <si>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</si>
  <si>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</si>
  <si>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</si>
  <si>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</si>
  <si>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</si>
  <si>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</si>
  <si>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</si>
  <si>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</si>
  <si>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</si>
  <si>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</si>
  <si>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</si>
  <si>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</si>
  <si>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</si>
  <si>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</si>
  <si>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</si>
  <si>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</si>
  <si>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</si>
  <si>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</si>
  <si>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</si>
  <si>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</si>
  <si>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</si>
  <si>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</si>
  <si>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</si>
  <si>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</si>
  <si>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</si>
  <si>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</si>
  <si>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</si>
  <si>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</si>
  <si>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</si>
  <si>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</si>
  <si>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</si>
  <si>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</si>
  <si>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</si>
  <si>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</si>
  <si>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</si>
  <si>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</si>
  <si>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</si>
  <si>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</si>
  <si>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</si>
  <si>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</si>
  <si>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</si>
  <si>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</si>
  <si>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</si>
  <si>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</si>
  <si>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</si>
  <si>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</si>
  <si>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</si>
  <si>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</si>
  <si>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</si>
  <si>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</si>
  <si>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</si>
  <si>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</si>
  <si>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</si>
  <si>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</si>
  <si>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</si>
  <si>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</si>
  <si>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</si>
  <si>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</si>
  <si>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</si>
  <si>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</si>
  <si>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</si>
  <si>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</si>
  <si>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</si>
  <si>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</si>
  <si>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</si>
  <si>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</si>
  <si>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</si>
  <si>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</si>
  <si>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</si>
  <si>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</si>
  <si>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</si>
  <si>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</si>
  <si>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</si>
  <si>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</si>
  <si>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</si>
  <si>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</si>
  <si>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</si>
  <si>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</si>
  <si>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</si>
  <si>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</si>
  <si>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</si>
  <si>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</si>
  <si>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</si>
  <si>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</si>
  <si>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</si>
  <si>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</si>
  <si>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</si>
  <si>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</si>
  <si>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</si>
  <si>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</si>
  <si>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</si>
  <si>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</si>
  <si>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</si>
  <si>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</si>
  <si>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</si>
  <si>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</si>
  <si>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</si>
  <si>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</si>
  <si>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</si>
  <si>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</si>
  <si>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</si>
  <si>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</si>
  <si>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</si>
  <si>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</si>
  <si>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</si>
  <si>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</si>
  <si>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</si>
  <si>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</si>
  <si>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</si>
  <si>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</si>
  <si>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</si>
  <si>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</si>
  <si>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</si>
  <si>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</si>
  <si>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</si>
  <si>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</si>
  <si>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</si>
  <si>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</si>
  <si>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</si>
  <si>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</si>
  <si>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</si>
  <si>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</si>
  <si>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</si>
  <si>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</si>
  <si>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</si>
  <si>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</si>
  <si>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</si>
  <si>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</si>
  <si>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 xml:space="preserve"> MC1 as 11:17h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</si>
  <si>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</si>
  <si>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</si>
  <si>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</si>
  <si>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</si>
  <si>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</si>
  <si>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</si>
  <si>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</si>
  <si>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</si>
  <si>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</si>
  <si>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</si>
  <si>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</si>
  <si>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</si>
  <si>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</si>
  <si>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</si>
  <si>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</si>
  <si>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</si>
  <si>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</si>
  <si>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</si>
  <si>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</si>
  <si>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</si>
  <si>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</si>
  <si>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</si>
  <si>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</si>
  <si>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Camila</t>
  </si>
  <si>
    <t>TIQ-TRO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</si>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</sst>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7" borderId="2" xfId="0" applyNumberFormat="1" applyFont="1" applyFill="1" applyBorder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0" activePane="bottomRight" state="frozen"/>
      <selection pane="bottomRight" activeCell="B104" sqref="B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W7046029</v>
      </c>
      <c r="B87" s="170">
        <v>46029</v>
      </c>
      <c r="C87" s="8">
        <f>IF(BS_CONTROLE[[#This Row],[DATA]]="","",WEEKNUM(BS_CONTROLE[[#This Row],[DATA]]))</f>
        <v>2</v>
      </c>
      <c r="D87" s="51" t="s">
        <v>239</v>
      </c>
      <c r="E87" s="319">
        <v>81</v>
      </c>
      <c r="F87" s="171" t="s">
        <v>185</v>
      </c>
      <c r="G87" s="9" t="str">
        <f>IF(D87="","*",VLOOKUP(F87,BS_ATIVIDADE[#All],3,FALSE))</f>
        <v>OUTROS</v>
      </c>
      <c r="H87" s="172" t="s">
        <v>941</v>
      </c>
      <c r="I87" s="172" t="s">
        <v>11</v>
      </c>
      <c r="J87" s="216">
        <v>98</v>
      </c>
      <c r="K87" s="216">
        <v>502</v>
      </c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87" s="172">
        <v>0.33333333333333331</v>
      </c>
      <c r="P87" s="172" t="s">
        <v>11</v>
      </c>
      <c r="Q87" s="83">
        <v>30</v>
      </c>
      <c r="R87" s="10" t="str">
        <f>IFERROR(_xlfn.XLOOKUP(F87, BS_ATIVIDADE[ATIVIDADE],BS_ATIVIDADE[UNIDADE] ), "*")</f>
        <v>VAGÕES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1311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PDM - PEDRA - CARGA</v>
      </c>
      <c r="AJ87" s="9" t="str">
        <f>IF(D87="","*",VLOOKUP(AI87,BS_ATIVIDADE[#Data],3,FALSE))</f>
        <v>OUTROS</v>
      </c>
      <c r="AK87" s="283" t="str">
        <f>IF(BS_CONTROLE[[#This Row],[Local - Partida]]=0, "-", BS_CONTROLE[[#This Row],[Local - Partida]])</f>
        <v>TGR2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TGR-TBE</v>
      </c>
      <c r="AN87" s="283" t="str">
        <f>IF(BS_CONTROLE[[#This Row],[SB]]=0, "-", BS_CONTROLE[[#This Row],[SB]])</f>
        <v>TGR512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502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VAGÕES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Camila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#VALUE!</v>
      </c>
      <c r="BR87" s="18" t="e">
        <f t="shared" si="9"/>
        <v>#VALUE!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1312</v>
      </c>
      <c r="N88" s="203" t="s">
        <v>394</v>
      </c>
      <c r="O88" s="382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1311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33</v>
      </c>
      <c r="G90" s="9" t="str">
        <f>IF(D90="","*",VLOOKUP(F90,BS_ATIVIDADE[#All],3,FALSE))</f>
        <v>DETECÇÃO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/>
      <c r="P90" s="172">
        <v>4.1666666666666664E-2</v>
      </c>
      <c r="Q90" s="83">
        <v>1</v>
      </c>
      <c r="R90" s="10" t="str">
        <f>IFERROR(_xlfn.XLOOKUP(F90, BS_ATIVIDADE[ATIVIDADE],BS_ATIVIDADE[UNIDADE] ), "*")</f>
        <v>KM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1311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DETECÇÃO - RONDA 7 DIAS</v>
      </c>
      <c r="AJ90" s="9" t="str">
        <f>IF(D90="","*",VLOOKUP(AI90,BS_ATIVIDADE[#Data],3,FALSE))</f>
        <v>DETECÇÃO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KM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1293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1300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e">
        <f t="shared" si="13"/>
        <v>#DIV/0!</v>
      </c>
      <c r="BR104" s="18" t="e">
        <f t="shared" si="14"/>
        <v>#DIV/0!</v>
      </c>
      <c r="BS104" s="18" t="e">
        <f t="shared" si="15"/>
        <v>#DIV/0!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1313</v>
      </c>
      <c r="W1" s="369"/>
      <c r="X1" s="369"/>
      <c r="Y1" s="103"/>
    </row>
    <row r="2" spans="1:25" s="100" customFormat="1" ht="11.25" customHeight="1">
      <c r="A2" s="104" t="s">
        <v>1314</v>
      </c>
      <c r="B2" s="104" t="s">
        <v>1315</v>
      </c>
      <c r="C2" s="104" t="s">
        <v>7</v>
      </c>
      <c r="D2" s="105" t="s">
        <v>1163</v>
      </c>
      <c r="E2" s="105" t="s">
        <v>1164</v>
      </c>
      <c r="F2" s="105" t="s">
        <v>1316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1317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W70</v>
      </c>
      <c r="H85" s="109" t="str">
        <f>IF(FN_MC!F87="","*",FN_MC!F87)</f>
        <v>PDM - PEDRA - CARGA</v>
      </c>
      <c r="I85" s="109" t="str">
        <f>IF(FN_MC!H87="","*",FN_MC!H87)</f>
        <v>TGR2</v>
      </c>
      <c r="J85" s="109" t="str">
        <f>IF(FN_MC!I87="","*",FN_MC!I87)</f>
        <v>-</v>
      </c>
      <c r="K85" s="109" t="str">
        <f>IF(FN_MC!M87="","*",FN_MC!M87)</f>
        <v>TGR-TBE</v>
      </c>
      <c r="L85" s="333" t="str">
        <f>IF(FN_MC!N87="","*",FN_MC!N87)</f>
        <v>TGR512</v>
      </c>
      <c r="M85" s="110">
        <f>IF(FN_MC!J87="","*",FN_MC!J87)</f>
        <v>98</v>
      </c>
      <c r="N85" s="295">
        <f>IF(FN_MC!K87="","*",FN_MC!K87)</f>
        <v>502</v>
      </c>
      <c r="O85" s="295" t="str">
        <f>IF(FN_MC!L87="","*",FN_MC!L87)</f>
        <v>-</v>
      </c>
      <c r="P85" s="110"/>
      <c r="Q85" s="127">
        <f>IF(FN_MC!O87="","*",FN_MC!O87)</f>
        <v>0.33333333333333331</v>
      </c>
      <c r="R85" s="127" t="str">
        <f>IF(FN_MC!P87="","*",FN_MC!P87)</f>
        <v>-</v>
      </c>
      <c r="S85" s="109" t="str">
        <f>IF(FN_MC!Q87="","*",CONCATENATE(FN_MC!Q87," ",FN_MC!R87))</f>
        <v>30 VAGÕES</v>
      </c>
      <c r="T85" s="109" t="str">
        <f>IF(FN_MC!V87="","*",FN_MC!V87)</f>
        <v>Camila</v>
      </c>
      <c r="U85" s="109" t="str">
        <f>IF(FN_MC!W87="","*",FN_MC!W87)</f>
        <v>*</v>
      </c>
      <c r="V85" s="111">
        <f ca="1">_xlfn.XLOOKUP(G85&amp;$V$2,BS_CONTROLE[CHAVE],BS_CONTROLE[Quantidade_11],"-")</f>
        <v>1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30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DETECÇÃO - RONDA 7 DIAS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 t="str">
        <f>IF(FN_MC!O90="","*",FN_MC!O90)</f>
        <v>*</v>
      </c>
      <c r="R88" s="127">
        <f>IF(FN_MC!P90="","*",FN_MC!P90)</f>
        <v>4.1666666666666664E-2</v>
      </c>
      <c r="S88" s="109" t="str">
        <f>IF(FN_MC!Q90="","*",CONCATENATE(FN_MC!Q90," ",FN_MC!R90))</f>
        <v>1 KM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1318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1319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1320</v>
      </c>
      <c r="E3" s="321" t="s">
        <v>1321</v>
      </c>
      <c r="F3" s="321" t="s">
        <v>1322</v>
      </c>
      <c r="G3" s="321" t="s">
        <v>1323</v>
      </c>
      <c r="H3" s="321" t="s">
        <v>1324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1325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1326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1327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1328</v>
      </c>
      <c r="C4" s="326" t="s">
        <v>1329</v>
      </c>
      <c r="D4" s="326" t="s">
        <v>1330</v>
      </c>
      <c r="E4" s="326" t="s">
        <v>1331</v>
      </c>
      <c r="F4" s="326" t="s">
        <v>351</v>
      </c>
      <c r="G4" s="326" t="s">
        <v>1332</v>
      </c>
      <c r="H4" s="191"/>
    </row>
    <row r="5" spans="1:8" ht="43.5">
      <c r="A5" s="191"/>
      <c r="B5" s="327" t="s">
        <v>1333</v>
      </c>
      <c r="C5" s="327">
        <v>309525</v>
      </c>
      <c r="D5" s="327" t="s">
        <v>1334</v>
      </c>
      <c r="E5" s="327" t="s">
        <v>239</v>
      </c>
      <c r="F5" s="327" t="s">
        <v>1335</v>
      </c>
      <c r="G5" s="328">
        <v>46296</v>
      </c>
      <c r="H5" s="191"/>
    </row>
    <row r="6" spans="1:8" ht="43.5">
      <c r="A6" s="191"/>
      <c r="B6" s="327" t="s">
        <v>1336</v>
      </c>
      <c r="C6" s="327">
        <v>256875</v>
      </c>
      <c r="D6" s="327" t="s">
        <v>1337</v>
      </c>
      <c r="E6" s="327" t="s">
        <v>239</v>
      </c>
      <c r="F6" s="327" t="s">
        <v>1335</v>
      </c>
      <c r="G6" s="328">
        <v>46296</v>
      </c>
      <c r="H6" s="191"/>
    </row>
    <row r="7" spans="1:8" ht="43.5">
      <c r="A7" s="191"/>
      <c r="B7" s="327" t="s">
        <v>1338</v>
      </c>
      <c r="C7" s="327">
        <v>257278</v>
      </c>
      <c r="D7" s="327" t="s">
        <v>1339</v>
      </c>
      <c r="E7" s="327" t="s">
        <v>230</v>
      </c>
      <c r="F7" s="327" t="s">
        <v>1340</v>
      </c>
      <c r="G7" s="328">
        <v>46235</v>
      </c>
      <c r="H7" s="191"/>
    </row>
    <row r="8" spans="1:8" ht="43.5">
      <c r="A8" s="191"/>
      <c r="B8" s="327" t="s">
        <v>1341</v>
      </c>
      <c r="C8" s="327">
        <v>261794</v>
      </c>
      <c r="D8" s="327" t="s">
        <v>1342</v>
      </c>
      <c r="E8" s="327" t="s">
        <v>230</v>
      </c>
      <c r="F8" s="327" t="s">
        <v>1340</v>
      </c>
      <c r="G8" s="328">
        <v>46082</v>
      </c>
      <c r="H8" s="191"/>
    </row>
    <row r="9" spans="1:8" ht="43.5">
      <c r="A9" s="191"/>
      <c r="B9" s="327" t="s">
        <v>1343</v>
      </c>
      <c r="C9" s="327">
        <v>257033</v>
      </c>
      <c r="D9" s="327" t="s">
        <v>1344</v>
      </c>
      <c r="E9" s="327" t="s">
        <v>230</v>
      </c>
      <c r="F9" s="327" t="s">
        <v>538</v>
      </c>
      <c r="G9" s="327" t="s">
        <v>1345</v>
      </c>
      <c r="H9" s="191"/>
    </row>
    <row r="10" spans="1:8" ht="43.5">
      <c r="A10" s="191"/>
      <c r="B10" s="327" t="s">
        <v>1346</v>
      </c>
      <c r="C10" s="327">
        <v>396578</v>
      </c>
      <c r="D10" s="327" t="s">
        <v>1347</v>
      </c>
      <c r="E10" s="327" t="s">
        <v>230</v>
      </c>
      <c r="F10" s="327" t="s">
        <v>538</v>
      </c>
      <c r="G10" s="327" t="s">
        <v>1345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1348</v>
      </c>
      <c r="D5" s="374"/>
      <c r="E5" s="374"/>
      <c r="F5" s="374"/>
      <c r="G5" s="374"/>
      <c r="H5" s="374"/>
      <c r="I5" s="374"/>
      <c r="J5" s="375"/>
      <c r="K5" s="376" t="s">
        <v>1349</v>
      </c>
      <c r="L5" s="377"/>
      <c r="M5" s="377"/>
      <c r="N5" s="377"/>
      <c r="O5" s="378" t="s">
        <v>1350</v>
      </c>
      <c r="P5" s="379"/>
      <c r="Q5" s="380"/>
    </row>
    <row r="6" spans="1:17" s="93" customFormat="1" ht="15.75" customHeight="1">
      <c r="A6" s="87" t="s">
        <v>1316</v>
      </c>
      <c r="B6" s="94" t="s">
        <v>1315</v>
      </c>
      <c r="C6" s="95" t="s">
        <v>1163</v>
      </c>
      <c r="D6" s="96" t="s">
        <v>1164</v>
      </c>
      <c r="E6" s="95" t="s">
        <v>1351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1352</v>
      </c>
      <c r="M6" s="138" t="s">
        <v>30</v>
      </c>
      <c r="N6" s="139" t="s">
        <v>1158</v>
      </c>
      <c r="O6" s="245" t="s">
        <v>1201</v>
      </c>
      <c r="P6" s="156"/>
      <c r="Q6" s="192" t="s">
        <v>1353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W70</v>
      </c>
      <c r="F88" s="99" t="str">
        <f>IF(FN_MC!H87="","*",FN_MC!H87)</f>
        <v>TGR2</v>
      </c>
      <c r="G88" s="99" t="str">
        <f>IF(FN_MC!M87="","*",FN_MC!M87)</f>
        <v>TGR-TBE</v>
      </c>
      <c r="H88" s="153">
        <f>IF(FN_MC!K87="","*",FN_MC!K87)</f>
        <v>502</v>
      </c>
      <c r="I88" s="131">
        <f>IF(FN_MC!O87="","*",FN_MC!O87)</f>
        <v>0.33333333333333331</v>
      </c>
      <c r="J88" s="131" t="str">
        <f>IF(FN_MC!P87="","*",FN_MC!P87)</f>
        <v>-</v>
      </c>
      <c r="K88" s="140" t="str">
        <f>IF(FN_MC!AK87="","*",FN_MC!AK87)</f>
        <v>TGR2</v>
      </c>
      <c r="L88" s="140" t="str">
        <f>IF(FN_MC!AM87="","*",FN_MC!AM87)</f>
        <v>TGR-TBE</v>
      </c>
      <c r="M88" s="140">
        <f>IF(FN_MC!AP87="","*",FN_MC!AP87)</f>
        <v>502</v>
      </c>
      <c r="N88" s="140" t="str">
        <f>IF(FN_MC!AM87="","*",FN_MC!AM87)</f>
        <v>TGR-TBE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 t="str">
        <f>IF(FN_MC!O90="","*",FN_MC!O90)</f>
        <v>*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V42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0" t="s">
        <v>1361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W70</v>
      </c>
      <c r="E85" s="120" t="str">
        <f>IF(FN_MC!H87="","*",FN_MC!H87)</f>
        <v>TGR2</v>
      </c>
      <c r="F85" s="136" t="str">
        <f>IF(FN_MC!M87="","*",FN_MC!M87)</f>
        <v>TGR-TBE</v>
      </c>
      <c r="G85" s="120" t="str">
        <f>IF(FN_MC!I87="","*",FN_MC!I87)</f>
        <v>-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2026-01-06T15:19:10Z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