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660" documentId="8_{B6337239-1A00-434D-AAD0-422EA1FEB5AE}" xr6:coauthVersionLast="47" xr6:coauthVersionMax="47" xr10:uidLastSave="{CDB1D733-AF78-4C3F-9FA7-FEF0B69D878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2" i="12" s="1"/>
  <c r="S301" i="1" a="1"/>
  <c r="S301" i="1" s="1"/>
  <c r="D302" i="12" s="1"/>
  <c r="T301" i="1" a="1"/>
  <c r="T301" i="1" s="1"/>
  <c r="E302" i="12" s="1"/>
  <c r="U301" i="1"/>
  <c r="BB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4" i="12" s="1"/>
  <c r="S303" i="1" a="1"/>
  <c r="S303" i="1" s="1"/>
  <c r="D304" i="12" s="1"/>
  <c r="T303" i="1" a="1"/>
  <c r="T303" i="1" s="1"/>
  <c r="E304" i="12" s="1"/>
  <c r="U303" i="1"/>
  <c r="AI303" i="1"/>
  <c r="BB303" i="1" s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6" i="12" s="1"/>
  <c r="S305" i="1" a="1"/>
  <c r="S305" i="1" s="1"/>
  <c r="D306" i="12" s="1"/>
  <c r="T305" i="1" a="1"/>
  <c r="T305" i="1" s="1"/>
  <c r="E306" i="12" s="1"/>
  <c r="U305" i="1"/>
  <c r="AI305" i="1"/>
  <c r="BB305" i="1" s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3" i="12" s="1"/>
  <c r="S312" i="1" a="1"/>
  <c r="S312" i="1" s="1"/>
  <c r="D313" i="12" s="1"/>
  <c r="T312" i="1" a="1"/>
  <c r="T312" i="1" s="1"/>
  <c r="E313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20" i="12" s="1"/>
  <c r="S319" i="1" a="1"/>
  <c r="S319" i="1" s="1"/>
  <c r="D320" i="12" s="1"/>
  <c r="T319" i="1" a="1"/>
  <c r="T319" i="1" s="1"/>
  <c r="E320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D323" i="12"/>
  <c r="E323" i="12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9" i="12" s="1"/>
  <c r="S288" i="1" a="1"/>
  <c r="S288" i="1" s="1"/>
  <c r="D289" i="12" s="1"/>
  <c r="T288" i="1" a="1"/>
  <c r="T288" i="1" s="1"/>
  <c r="E289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L292" i="12"/>
  <c r="D292" i="12"/>
  <c r="E292" i="12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12" i="1" l="1"/>
  <c r="AJ309" i="1"/>
  <c r="AJ322" i="1"/>
  <c r="AJ319" i="1"/>
  <c r="AJ288" i="1"/>
  <c r="AJ291" i="1"/>
  <c r="AJ305" i="1"/>
  <c r="AJ303" i="1"/>
  <c r="AJ301" i="1"/>
  <c r="AJ298" i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<sst xmlns="http://schemas.openxmlformats.org/spreadsheetml/2006/main" count="6107" uniqueCount="1620">
  <si>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</si>
  <si>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</si>
  <si>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</si>
  <si>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</si>
  <si>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</si>
  <si>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</si>
  <si>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</si>
  <si>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</si>
  <si>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</si>
  <si>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</si>
  <si>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</si>
  <si>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</si>
  <si>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</si>
  <si>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</si>
  <si>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</si>
  <si>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</si>
  <si>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</si>
  <si>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</si>
  <si>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</si>
  <si>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</si>
  <si>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</si>
  <si>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</si>
  <si>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</si>
  <si>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</si>
  <si>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</si>
  <si>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</si>
  <si>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</si>
  <si>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</si>
  <si>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</si>
  <si>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</si>
  <si>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</si>
  <si>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</si>
  <si>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</si>
  <si>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</si>
  <si>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</si>
  <si>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</si>
  <si>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</si>
  <si>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</si>
  <si>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</si>
  <si>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</si>
  <si>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</si>
  <si>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</si>
  <si>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</si>
  <si>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</si>
  <si>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</si>
  <si>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</si>
  <si>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</si>
  <si>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</si>
  <si>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</si>
  <si>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</si>
  <si>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</si>
  <si>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</si>
  <si>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</si>
  <si>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</si>
  <si>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</si>
  <si>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</si>
  <si>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</si>
  <si>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</si>
  <si>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</si>
  <si>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</si>
  <si>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</si>
  <si>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</si>
  <si>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</si>
  <si>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</si>
  <si>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</si>
  <si>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</si>
  <si>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</si>
  <si>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</si>
  <si>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</si>
  <si>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</si>
  <si>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</si>
  <si>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</si>
  <si>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</si>
  <si>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</si>
  <si>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</si>
  <si>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</si>
  <si>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</si>
  <si>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</si>
  <si>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</si>
  <si>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</si>
  <si>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</si>
  <si>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</si>
  <si>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</si>
  <si>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</si>
  <si>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</si>
  <si>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</si>
  <si>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</si>
  <si>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</si>
  <si>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</si>
  <si>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</si>
  <si>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</si>
  <si>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</si>
  <si>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</si>
  <si>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</si>
  <si>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</si>
  <si>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</si>
  <si>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</si>
  <si>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</si>
  <si>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</si>
  <si>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</si>
  <si>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</si>
  <si>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</si>
  <si>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</si>
  <si>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</si>
  <si>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</si>
  <si>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</si>
  <si>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</si>
  <si>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</si>
  <si>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</si>
  <si>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</si>
  <si>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</si>
  <si>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</si>
  <si>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</si>
  <si>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</si>
  <si>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</si>
  <si>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</si>
  <si>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</si>
  <si>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</si>
  <si>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</si>
  <si>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</si>
  <si>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</si>
  <si>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</si>
  <si>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</si>
  <si>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</si>
  <si>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</si>
  <si>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</si>
  <si>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</si>
  <si>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</si>
  <si>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</si>
  <si>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</si>
  <si>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</si>
  <si>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</si>
  <si>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</si>
  <si>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</si>
  <si>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</si>
  <si>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</si>
  <si>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</si>
  <si>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</si>
  <si>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</si>
  <si>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</si>
  <si>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</si>
  <si>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</si>
  <si>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</si>
  <si>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</si>
  <si>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</si>
  <si>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</si>
  <si>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</si>
  <si>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</si>
  <si>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</si>
  <si>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</si>
  <si>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</si>
  <si>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</si>
  <si>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</si>
  <si>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</si>
  <si>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</si>
  <si>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</si>
  <si>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</si>
  <si>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</si>
  <si>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</si>
  <si>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</si>
  <si>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</si>
  <si>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</si>
  <si>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</si>
  <si>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</si>
  <si>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</si>
  <si>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</si>
  <si>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</si>
  <si>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</si>
  <si>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</si>
  <si>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</si>
  <si>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</si>
  <si>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</si>
  <si>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</si>
  <si>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</si>
  <si>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</si>
  <si>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</si>
  <si>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</si>
  <si>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</si>
  <si>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</si>
  <si>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</si>
  <si>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</si>
  <si>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</si>
  <si>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</si>
  <si>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</si>
  <si>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</si>
  <si>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</si>
  <si>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</si>
  <si>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</si>
  <si>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</si>
  <si>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</si>
  <si>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</si>
  <si>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</si>
  <si>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</si>
  <si>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</si>
  <si>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</si>
  <si>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</si>
  <si>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</si>
  <si>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</si>
  <si>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</si>
  <si>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</si>
  <si>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</si>
  <si>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</si>
  <si>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</si>
  <si>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</si>
  <si>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</si>
  <si>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</si>
  <si>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</si>
  <si>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</si>
  <si>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</si>
  <si>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</si>
  <si>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</si>
  <si>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</si>
  <si>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</si>
  <si>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</si>
  <si>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</si>
  <si>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</si>
  <si>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</si>
  <si>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</si>
  <si>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</si>
  <si>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</si>
  <si>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</si>
  <si>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</si>
  <si>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</si>
  <si>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</si>
  <si>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</si>
  <si>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</si>
  <si>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</si>
  <si>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</si>
  <si>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</si>
  <si>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</si>
  <si>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</si>
  <si>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</si>
  <si>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</si>
  <si>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</si>
  <si>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</si>
  <si>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</si>
  <si>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</si>
  <si>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</si>
  <si>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</si>
  <si>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</si>
  <si>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</si>
  <si>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</si>
  <si>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</si>
  <si>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</si>
  <si>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</si>
  <si>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</si>
  <si>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</si>
  <si>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</si>
  <si>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</si>
  <si>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</si>
  <si>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</si>
  <si>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</si>
  <si>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</si>
  <si>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</si>
  <si>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</si>
  <si>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</si>
  <si>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</si>
  <si>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</si>
  <si>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</si>
  <si>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</si>
  <si>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</si>
  <si>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</si>
  <si>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</si>
  <si>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</si>
  <si>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</si>
  <si>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</si>
  <si>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</si>
  <si>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</si>
  <si>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</si>
  <si>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</si>
  <si>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</si>
  <si>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</si>
  <si>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</si>
  <si>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</si>
  <si>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</si>
  <si>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</si>
  <si>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</si>
  <si>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</si>
  <si>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</si>
  <si>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</si>
  <si>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</si>
  <si>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</si>
  <si>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</si>
  <si>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</si>
  <si>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</si>
  <si>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</si>
  <si>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</si>
  <si>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</si>
  <si>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</si>
  <si>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</si>
  <si>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</si>
  <si>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</si>
  <si>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</si>
  <si>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</si>
  <si>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</si>
  <si>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</si>
  <si>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</si>
  <si>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</si>
  <si>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</si>
  <si>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</si>
  <si>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</si>
  <si>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</si>
  <si>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</si>
  <si>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</si>
  <si>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</si>
  <si>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</si>
  <si>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</si>
  <si>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</si>
  <si>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</si>
  <si>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</si>
  <si>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</si>
  <si>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</si>
  <si>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</si>
  <si>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</si>
  <si>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</si>
  <si>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</si>
  <si>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</si>
  <si>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</si>
  <si>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</si>
  <si>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</si>
  <si>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</si>
  <si>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</si>
  <si>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</si>
  <si>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</si>
  <si>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</si>
  <si>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</si>
  <si>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</si>
  <si>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</si>
  <si>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</si>
  <si>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</si>
  <si>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</si>
  <si>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</si>
  <si>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</si>
  <si>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</si>
  <si>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</si>
  <si>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</si>
  <si>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</si>
  <si>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</si>
  <si>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</si>
  <si>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</si>
  <si>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</si>
  <si>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</si>
  <si>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</si>
  <si>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</si>
  <si>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</si>
  <si>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</si>
  <si>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</si>
  <si>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</si>
  <si>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</si>
  <si>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</si>
  <si>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</si>
  <si>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</si>
  <si>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</si>
  <si>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</si>
  <si>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</si>
  <si>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</si>
  <si>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</si>
  <si>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</si>
  <si>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</si>
  <si>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</si>
  <si>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</si>
  <si>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</si>
  <si>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</si>
  <si>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</si>
  <si>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</si>
  <si>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</si>
  <si>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</si>
  <si>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</si>
  <si>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</si>
  <si>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</si>
  <si>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</si>
  <si>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</si>
  <si>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</si>
  <si>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</si>
  <si>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</si>
  <si>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</si>
  <si>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</si>
  <si>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</si>
  <si>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</si>
  <si>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</si>
  <si>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</si>
  <si>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</si>
  <si>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</si>
  <si>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</si>
  <si>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</si>
  <si>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</si>
  <si>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</si>
  <si>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</si>
  <si>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</si>
  <si>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</si>
  <si>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</si>
  <si>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</si>
  <si>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</si>
  <si>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</si>
  <si>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</si>
  <si>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</si>
  <si>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</si>
  <si>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</si>
  <si>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</si>
  <si>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</si>
  <si>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</si>
  <si>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</si>
  <si>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</si>
  <si>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</si>
  <si>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</si>
  <si>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</si>
  <si>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</si>
  <si>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</si>
  <si>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</si>
  <si>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</si>
  <si>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</si>
  <si>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</si>
  <si>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</si>
  <si>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</si>
  <si>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</si>
  <si>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</si>
  <si>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</si>
  <si>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</si>
  <si>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</si>
  <si>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</si>
  <si>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</si>
  <si>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</si>
  <si>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</si>
  <si>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</si>
  <si>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</si>
  <si>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</si>
  <si>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</si>
  <si>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</si>
  <si>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</si>
  <si>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</si>
  <si>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</si>
  <si>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</si>
  <si>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</si>
  <si>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</si>
  <si>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</si>
  <si>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</si>
  <si>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</si>
  <si>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</si>
  <si>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</si>
  <si>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</si>
  <si>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</si>
  <si>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</si>
  <si>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</si>
  <si>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</si>
  <si>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</si>
  <si>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</si>
  <si>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</si>
  <si>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</si>
  <si>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</si>
  <si>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</si>
  <si>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</si>
  <si>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</si>
  <si>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</si>
  <si>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</si>
  <si>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</si>
  <si>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</si>
  <si>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</si>
  <si>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</si>
  <si>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</si>
  <si>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</si>
  <si>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</si>
  <si>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</si>
  <si>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</si>
  <si>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</si>
  <si>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</si>
  <si>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</si>
  <si>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</si>
  <si>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</si>
  <si>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</si>
  <si>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</si>
  <si>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</si>
  <si>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</si>
  <si>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</si>
  <si>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</si>
  <si>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</si>
  <si>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</si>
  <si>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</si>
  <si>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</si>
  <si>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</si>
  <si>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</si>
  <si>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</si>
  <si>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</si>
  <si>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</si>
  <si>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</si>
  <si>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</si>
  <si>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</si>
  <si>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</si>
  <si>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</si>
  <si>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</si>
  <si>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</si>
  <si>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</si>
  <si>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</si>
  <si>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</si>
  <si>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</si>
  <si>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</si>
  <si>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</si>
  <si>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</si>
  <si>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</si>
  <si>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</si>
  <si>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</si>
  <si>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</si>
  <si>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</si>
  <si>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</si>
  <si>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</si>
  <si>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</si>
  <si>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</si>
  <si>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</si>
  <si>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</si>
  <si>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</si>
  <si>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</si>
  <si>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</si>
  <si>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</si>
  <si>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</si>
  <si>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</si>
  <si>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</si>
  <si>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</si>
  <si>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</si>
  <si>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</si>
  <si>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</si>
  <si>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</si>
  <si>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</si>
  <si>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</si>
  <si>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</si>
  <si>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</si>
  <si>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</si>
  <si>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</si>
  <si>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</si>
  <si>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</si>
  <si>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</si>
  <si>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</si>
  <si>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</si>
  <si>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</si>
  <si>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</si>
  <si>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</si>
  <si>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</si>
  <si>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</si>
  <si>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</si>
  <si>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</si>
  <si>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</si>
  <si>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</si>
  <si>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</si>
  <si>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</si>
  <si>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</si>
  <si>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</si>
  <si>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</si>
  <si>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</si>
  <si>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</si>
  <si>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</si>
  <si>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</si>
  <si>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</si>
  <si>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</si>
  <si>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</si>
  <si>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</si>
  <si>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</si>
  <si>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</si>
  <si>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</si>
  <si>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</si>
  <si>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</si>
  <si>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</si>
  <si>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</si>
  <si>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</si>
  <si>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</si>
  <si>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</si>
  <si>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</si>
  <si>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</si>
  <si>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</si>
  <si>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</si>
  <si>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</si>
  <si>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</si>
  <si>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</si>
  <si>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</si>
  <si>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</si>
  <si>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</si>
  <si>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</si>
  <si>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</si>
  <si>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</si>
  <si>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</si>
  <si>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</si>
  <si>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</si>
  <si>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</si>
  <si>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</si>
  <si>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</si>
  <si>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</si>
  <si>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</si>
  <si>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</si>
  <si>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</si>
  <si>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</si>
  <si>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</si>
  <si>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</si>
  <si>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</si>
  <si>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</si>
  <si>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</si>
  <si>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</si>
  <si>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</si>
  <si>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</si>
  <si>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</si>
  <si>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</si>
  <si>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</si>
  <si>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</si>
  <si>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</si>
  <si>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</si>
  <si>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</si>
  <si>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</si>
  <si>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</si>
  <si>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</si>
  <si>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</si>
  <si>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</si>
  <si>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</si>
  <si>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</si>
  <si>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</si>
  <si>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</si>
  <si>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</si>
  <si>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</si>
  <si>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</si>
  <si>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</si>
  <si>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</si>
  <si>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</si>
  <si>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</si>
  <si>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</si>
  <si>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</si>
  <si>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</si>
  <si>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</si>
  <si>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</si>
  <si>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</si>
  <si>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</si>
  <si>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</si>
  <si>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</si>
  <si>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</si>
  <si>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</si>
  <si>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</si>
  <si>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</si>
  <si>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</si>
  <si>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</si>
  <si>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</si>
  <si>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</si>
  <si>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</si>
  <si>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</si>
  <si>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</si>
  <si>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</si>
  <si>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</si>
  <si>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</si>
  <si>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</si>
  <si>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</si>
  <si>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</si>
  <si>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</si>
  <si>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</si>
  <si>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</si>
  <si>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</si>
  <si>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</si>
  <si>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</si>
  <si>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</si>
  <si>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</si>
  <si>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</si>
  <si>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</si>
  <si>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</si>
  <si>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</si>
  <si>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</si>
  <si>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</si>
  <si>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</si>
  <si>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</si>
  <si>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</si>
  <si>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</si>
  <si>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</si>
  <si>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</si>
  <si>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</si>
  <si>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</si>
  <si>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</si>
  <si>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</si>
  <si>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</si>
  <si>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</si>
  <si>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</si>
  <si>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</si>
  <si>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</si>
  <si>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</si>
  <si>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</si>
  <si>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</si>
  <si>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</si>
  <si>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</si>
  <si>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</si>
  <si>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</si>
  <si>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</si>
  <si>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</si>
  <si>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</si>
  <si>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</si>
  <si>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</si>
  <si>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</si>
  <si>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</si>
  <si>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</si>
  <si>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</si>
  <si>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</si>
  <si>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</si>
  <si>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</si>
  <si>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</si>
  <si>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</si>
  <si>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</si>
  <si>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</si>
  <si>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</si>
  <si>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</si>
  <si>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</si>
  <si>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</si>
  <si>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</si>
  <si>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</si>
  <si>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</si>
  <si>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</si>
  <si>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</si>
  <si>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</si>
  <si>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</si>
  <si>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</si>
  <si>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</si>
  <si>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</si>
  <si>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</si>
  <si>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</si>
  <si>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</si>
  <si>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</si>
  <si>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</si>
  <si>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</si>
  <si>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</si>
  <si>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</si>
  <si>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</si>
  <si>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</si>
  <si>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</si>
  <si>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</si>
  <si>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</si>
  <si>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</si>
  <si>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</si>
  <si>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</si>
  <si>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</si>
  <si>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</si>
  <si>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</si>
  <si>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</si>
  <si>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</si>
  <si>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</si>
  <si>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</si>
  <si>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</si>
  <si>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</si>
  <si>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</si>
  <si>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</si>
  <si>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</si>
  <si>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</si>
  <si>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</si>
  <si>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</si>
  <si>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</si>
  <si>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</si>
  <si>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</si>
  <si>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</si>
  <si>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</si>
  <si>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</si>
  <si>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</si>
  <si>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</si>
  <si>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</si>
  <si>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</si>
  <si>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</si>
  <si>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</si>
  <si>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</si>
  <si>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</si>
  <si>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</si>
  <si>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</si>
  <si>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</si>
  <si>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</si>
  <si>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</si>
  <si>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</si>
  <si>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</si>
  <si>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</si>
  <si>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</si>
  <si>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</si>
  <si>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</si>
  <si>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</si>
  <si>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</si>
  <si>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</si>
  <si>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</si>
  <si>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</si>
  <si>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</si>
  <si>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</si>
  <si>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</si>
  <si>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</si>
  <si>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</si>
  <si>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</si>
  <si>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</si>
  <si>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</si>
  <si>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</si>
  <si>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</si>
  <si>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</si>
  <si>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</si>
  <si>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</si>
  <si>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</si>
  <si>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</si>
  <si>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</si>
  <si>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</si>
  <si>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</si>
  <si>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</si>
  <si>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</si>
  <si>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</si>
  <si>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</si>
  <si>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</si>
  <si>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</si>
  <si>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</si>
  <si>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</si>
  <si>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</si>
  <si>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</si>
  <si>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</si>
  <si>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</si>
  <si>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</si>
  <si>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</si>
  <si>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</si>
  <si>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</si>
  <si>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</si>
  <si>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</si>
  <si>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</si>
  <si>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</si>
  <si>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</si>
  <si>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</si>
  <si>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</si>
  <si>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</si>
  <si>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</si>
  <si>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</si>
  <si>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</si>
  <si>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</si>
  <si>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</si>
  <si>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</si>
  <si>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</si>
  <si>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</si>
  <si>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</si>
  <si>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</si>
  <si>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</si>
  <si>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</si>
  <si>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</si>
  <si>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</si>
  <si>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</si>
  <si>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</si>
  <si>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</si>
  <si>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</si>
  <si>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</si>
  <si>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</si>
  <si>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</si>
  <si>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</si>
  <si>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</si>
  <si>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</si>
  <si>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</si>
  <si>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</si>
  <si>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</si>
  <si>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</si>
  <si>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</si>
  <si>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</si>
  <si>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</si>
  <si>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</si>
  <si>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</si>
  <si>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</si>
  <si>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</si>
  <si>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</si>
  <si>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</si>
  <si>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</si>
  <si>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</si>
  <si>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</si>
  <si>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</si>
  <si>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</si>
  <si>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</si>
  <si>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</si>
  <si>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</si>
  <si>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</si>
  <si>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</si>
  <si>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</si>
  <si>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</si>
  <si>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</si>
  <si>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</si>
  <si>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</si>
  <si>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</si>
  <si>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</si>
  <si>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</si>
  <si>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</si>
  <si>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</si>
  <si>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</si>
  <si>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</si>
  <si>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</si>
  <si>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</si>
  <si>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</si>
  <si>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</si>
  <si>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</si>
  <si>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</si>
  <si>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</si>
  <si>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</si>
  <si>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</si>
  <si>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</si>
  <si>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</si>
  <si>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</si>
  <si>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</si>
  <si>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</si>
  <si>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</si>
  <si>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</si>
  <si>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</si>
  <si>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</si>
  <si>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</si>
  <si>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</si>
  <si>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</si>
  <si>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</si>
  <si>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</si>
  <si>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</si>
  <si>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</si>
  <si>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</si>
  <si>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</si>
  <si>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</si>
  <si>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</si>
  <si>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</si>
  <si>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</si>
  <si>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</si>
  <si>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</si>
  <si>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</si>
  <si>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</si>
  <si>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</si>
  <si>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</si>
  <si>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</si>
  <si>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</si>
  <si>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</si>
  <si>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</si>
  <si>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</si>
  <si>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</si>
  <si>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</si>
  <si>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</si>
  <si>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</si>
  <si>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</si>
  <si>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</si>
  <si>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</si>
  <si>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</si>
  <si>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</si>
  <si>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</si>
  <si>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</si>
  <si>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</si>
  <si>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</si>
  <si>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</si>
  <si>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</si>
  <si>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</si>
  <si>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</si>
  <si>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</si>
  <si>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</si>
  <si>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</si>
  <si>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</si>
  <si>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</si>
  <si>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</si>
  <si>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</si>
  <si>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</si>
  <si>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</si>
  <si>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</si>
  <si>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</si>
  <si>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</si>
  <si>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</si>
  <si>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</si>
  <si>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</si>
  <si>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</si>
  <si>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</si>
  <si>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</si>
  <si>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</si>
  <si>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</si>
  <si>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</si>
  <si>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</si>
  <si>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</si>
  <si>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</si>
  <si>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</si>
  <si>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</si>
  <si>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</si>
  <si>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</si>
  <si>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</si>
  <si>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</si>
  <si>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</si>
  <si>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</si>
  <si>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</si>
  <si>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</si>
  <si>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</si>
  <si>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</si>
  <si>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</si>
  <si>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</si>
  <si>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</si>
  <si>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</si>
  <si>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</si>
  <si>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</si>
  <si>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</si>
  <si>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</si>
  <si>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</si>
  <si>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</si>
  <si>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</si>
  <si>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</si>
  <si>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</si>
  <si>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</si>
  <si>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</si>
  <si>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</si>
  <si>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</si>
  <si>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</si>
  <si>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</si>
  <si>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</si>
  <si>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</si>
  <si>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</si>
  <si>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</si>
  <si>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</si>
  <si>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</si>
  <si>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</si>
  <si>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</si>
  <si>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</si>
  <si>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</si>
  <si>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</si>
  <si>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</si>
  <si>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</si>
  <si>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</si>
  <si>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</si>
  <si>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</si>
  <si>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</si>
  <si>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</si>
  <si>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</si>
  <si>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</si>
  <si>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</si>
  <si>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</si>
  <si>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</si>
  <si>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</si>
  <si>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</si>
  <si>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</si>
  <si>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</si>
  <si>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</si>
  <si>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</si>
  <si>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</si>
  <si>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</si>
  <si>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</si>
  <si>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</si>
  <si>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</si>
  <si>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</si>
  <si>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</si>
  <si>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</si>
  <si>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</si>
  <si>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</si>
  <si>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</si>
  <si>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</si>
  <si>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</si>
  <si>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</si>
  <si>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</si>
  <si>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</si>
  <si>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</si>
  <si>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</si>
  <si>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</si>
  <si>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</si>
  <si>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</si>
  <si>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</si>
  <si>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</si>
  <si>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</si>
  <si>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</si>
  <si>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</si>
  <si>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</si>
  <si>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</si>
  <si>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</si>
  <si>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</si>
  <si>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</si>
  <si>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</si>
  <si>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</si>
  <si>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</si>
  <si>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</si>
  <si>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</si>
  <si>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</si>
  <si>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</si>
  <si>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</si>
  <si>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</si>
  <si>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</si>
  <si>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</si>
  <si>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</si>
  <si>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</si>
  <si>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</si>
  <si>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</si>
  <si>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</si>
  <si>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</si>
  <si>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</si>
  <si>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</si>
  <si>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</si>
  <si>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</si>
  <si>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</si>
  <si>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</si>
  <si>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</si>
  <si>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</si>
  <si>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</si>
  <si>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</si>
  <si>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</si>
  <si>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</si>
  <si>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</si>
  <si>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</si>
  <si>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</si>
  <si>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</si>
  <si>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</si>
  <si>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</si>
  <si>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</si>
  <si>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</si>
  <si>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</si>
  <si>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</si>
  <si>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</si>
  <si>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</si>
  <si>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</si>
  <si>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</si>
  <si>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</si>
  <si>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</si>
  <si>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</si>
  <si>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</si>
  <si>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</si>
  <si>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</si>
  <si>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</si>
  <si>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</si>
  <si>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</si>
  <si>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</si>
  <si>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</si>
  <si>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</si>
  <si>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</si>
  <si>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</si>
  <si>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</si>
  <si>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</si>
  <si>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</si>
  <si>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</si>
  <si>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</si>
  <si>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</si>
  <si>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</si>
  <si>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</si>
  <si>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</si>
  <si>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</si>
  <si>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</si>
  <si>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</si>
  <si>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</si>
  <si>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</si>
  <si>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</si>
  <si>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</si>
  <si>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</si>
  <si>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</si>
  <si>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</si>
  <si>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</si>
  <si>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</si>
  <si>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</si>
  <si>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</si>
  <si>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</si>
  <si>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</si>
  <si>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</si>
  <si>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</si>
  <si>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</si>
  <si>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</si>
  <si>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</si>
  <si>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</si>
  <si>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</si>
  <si>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</si>
  <si>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</si>
  <si>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</si>
  <si>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</si>
  <si>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</si>
  <si>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</si>
  <si>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</si>
  <si>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</si>
  <si>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</si>
  <si>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</si>
  <si>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</si>
  <si>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</si>
  <si>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</si>
  <si>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</si>
  <si>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</si>
  <si>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</si>
  <si>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</si>
  <si>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</si>
  <si>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</si>
  <si>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</si>
  <si>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</si>
  <si>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</si>
  <si>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</si>
  <si>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</si>
  <si>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</si>
  <si>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</si>
  <si>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</si>
  <si>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</si>
  <si>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</si>
  <si>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</si>
  <si>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</si>
  <si>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</si>
  <si>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</si>
  <si>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</si>
  <si>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</si>
  <si>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</si>
  <si>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</si>
  <si>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</si>
  <si>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</si>
  <si>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</si>
  <si>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</si>
  <si>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</si>
  <si>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</si>
  <si>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</si>
  <si>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</si>
  <si>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</si>
  <si>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</si>
  <si>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</si>
  <si>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</si>
  <si>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</si>
  <si>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</si>
  <si>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</si>
  <si>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</si>
  <si>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</si>
  <si>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</si>
  <si>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</si>
  <si>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</si>
  <si>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</si>
  <si>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</si>
  <si>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</si>
  <si>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</si>
  <si>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</si>
  <si>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</si>
  <si>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</si>
  <si>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</si>
  <si>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</si>
  <si>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</si>
  <si>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</si>
  <si>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</si>
  <si>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</si>
  <si>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</si>
  <si>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</si>
  <si>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</si>
  <si>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</si>
  <si>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</si>
  <si>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</si>
  <si>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</si>
  <si>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</si>
  <si>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</si>
  <si>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</si>
  <si>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</si>
  <si>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</si>
  <si>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</si>
  <si>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</si>
  <si>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</si>
  <si>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</si>
  <si>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</si>
  <si>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</si>
  <si>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</si>
  <si>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</si>
  <si>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</si>
  <si>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</si>
  <si>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</si>
  <si>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</si>
  <si>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</si>
  <si>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</si>
  <si>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</si>
  <si>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</si>
  <si>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</si>
  <si>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</si>
  <si>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</si>
  <si>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</si>
  <si>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</si>
  <si>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</si>
  <si>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</si>
  <si>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</si>
  <si>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</si>
  <si>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</si>
  <si>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</si>
  <si>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</si>
  <si>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</si>
  <si>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</si>
  <si>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</si>
  <si>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</si>
  <si>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</si>
  <si>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</si>
  <si>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</si>
  <si>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</si>
  <si>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</si>
  <si>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</si>
  <si>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</si>
  <si>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</si>
  <si>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</si>
  <si>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</si>
  <si>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</si>
  <si>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</si>
  <si>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</si>
  <si>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</si>
  <si>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</si>
  <si>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</si>
  <si>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</si>
  <si>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</si>
  <si>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</si>
  <si>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</si>
  <si>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</si>
  <si>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</si>
  <si>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</si>
  <si>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</si>
  <si>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</si>
  <si>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</si>
  <si>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</si>
  <si>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</si>
  <si>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</si>
  <si>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</si>
  <si>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</si>
  <si>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</si>
  <si>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</si>
  <si>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</si>
  <si>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</si>
  <si>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</si>
  <si>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</si>
  <si>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</si>
  <si>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</si>
  <si>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</si>
  <si>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</si>
  <si>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</si>
  <si>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</si>
  <si>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</si>
  <si>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</si>
  <si>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</si>
  <si>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</si>
  <si>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</si>
  <si>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</si>
  <si>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</si>
  <si>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</si>
  <si>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</si>
  <si>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</si>
  <si>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</si>
  <si>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</si>
  <si>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</si>
  <si>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</si>
  <si>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</si>
  <si>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</si>
  <si>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</si>
  <si>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</si>
  <si>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</si>
  <si>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</si>
  <si>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</si>
  <si>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</si>
  <si>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</si>
  <si>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</si>
  <si>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</si>
  <si>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</si>
  <si>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</si>
  <si>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</si>
  <si>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</si>
  <si>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</si>
  <si>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</si>
  <si>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</si>
  <si>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</si>
  <si>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</si>
  <si>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</si>
  <si>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</si>
  <si>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</si>
  <si>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</si>
  <si>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</si>
  <si>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</si>
  <si>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</si>
  <si>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</si>
  <si>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</si>
  <si>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</si>
  <si>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</si>
  <si>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</si>
  <si>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</si>
  <si>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</si>
  <si>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</si>
  <si>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</si>
  <si>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</si>
  <si>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</si>
  <si>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</si>
  <si>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</si>
  <si>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</si>
  <si>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</si>
  <si>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</si>
  <si>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</si>
  <si>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</si>
  <si>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</si>
  <si>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</si>
  <si>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</si>
  <si>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</si>
  <si>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</si>
  <si>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</si>
  <si>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</si>
  <si>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</si>
  <si>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</si>
  <si>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</si>
  <si>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</si>
  <si>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</si>
  <si>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</si>
  <si>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</si>
  <si>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</si>
  <si>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</si>
  <si>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</si>
  <si>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</si>
  <si>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</si>
  <si>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</si>
  <si>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</si>
  <si>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</si>
  <si>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</si>
  <si>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</si>
  <si>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</si>
  <si>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</si>
  <si>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</si>
  <si>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</si>
  <si>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</si>
  <si>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</si>
  <si>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</si>
  <si>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</si>
  <si>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</si>
  <si>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</si>
  <si>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</si>
  <si>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</si>
  <si>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</si>
  <si>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</si>
  <si>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</si>
  <si>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</si>
  <si>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</si>
  <si>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</si>
  <si>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</si>
  <si>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</si>
  <si>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</si>
  <si>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</si>
  <si>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</si>
  <si>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</si>
  <si>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</si>
  <si>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</si>
  <si>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</si>
  <si>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</si>
  <si>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</si>
  <si>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</si>
  <si>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</si>
  <si>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</si>
  <si>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</si>
  <si>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</si>
  <si>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</si>
  <si>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</si>
  <si>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</si>
  <si>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</si>
  <si>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</si>
  <si>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</si>
  <si>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</si>
  <si>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</si>
  <si>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</si>
  <si>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</si>
  <si>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</si>
  <si>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</si>
  <si>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</si>
  <si>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</si>
  <si>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</si>
  <si>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</si>
  <si>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</si>
  <si>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</si>
  <si>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</si>
  <si>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</si>
  <si>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</si>
  <si>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</si>
  <si>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</si>
  <si>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</si>
  <si>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</si>
  <si>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</si>
  <si>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</si>
  <si>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</si>
  <si>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</si>
  <si>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</si>
  <si>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</si>
  <si>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</si>
  <si>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</si>
  <si>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</si>
  <si>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</si>
  <si>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</si>
  <si>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</si>
  <si>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</si>
  <si>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</si>
  <si>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</si>
  <si>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</si>
  <si>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</si>
  <si>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</si>
  <si>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</si>
  <si>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</si>
  <si>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</si>
  <si>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</si>
  <si>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</si>
  <si>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</si>
  <si>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</si>
  <si>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</si>
  <si>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</si>
  <si>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</si>
  <si>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</si>
  <si>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</si>
  <si>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</si>
  <si>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</si>
  <si>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</si>
  <si>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</si>
  <si>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</si>
  <si>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</si>
  <si>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</si>
  <si>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</si>
  <si>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</si>
  <si>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</si>
  <si>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</si>
  <si>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</si>
  <si>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</si>
  <si>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</si>
  <si>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</si>
  <si>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</si>
  <si>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</si>
  <si>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</si>
  <si>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</si>
  <si>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</si>
  <si>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</si>
  <si>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</si>
  <si>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</si>
  <si>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</si>
  <si>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</si>
  <si>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</si>
  <si>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</si>
  <si>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</si>
  <si>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</si>
  <si>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</si>
  <si>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</si>
  <si>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</si>
  <si>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</si>
  <si>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</si>
  <si>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</si>
  <si>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</si>
  <si>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</si>
  <si>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</si>
  <si>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</si>
  <si>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</si>
  <si>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</si>
  <si>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</si>
  <si>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</si>
  <si>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</si>
  <si>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</si>
  <si>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</si>
  <si>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</si>
  <si>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</si>
  <si>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</si>
  <si>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</si>
  <si>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</si>
  <si>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</si>
  <si>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</si>
  <si>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</si>
  <si>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</si>
  <si>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</si>
  <si>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</si>
  <si>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</si>
  <si>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</si>
  <si>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</si>
  <si>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</si>
  <si>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</si>
  <si>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</si>
  <si>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</si>
  <si>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</si>
  <si>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</si>
  <si>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</si>
  <si>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</si>
  <si>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</si>
  <si>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</si>
  <si>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</si>
  <si>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</si>
  <si>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</si>
  <si>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</si>
  <si>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</si>
  <si>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</si>
  <si>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</si>
  <si>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</si>
  <si>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</si>
  <si>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</si>
  <si>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</si>
  <si>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</si>
  <si>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</si>
  <si>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</si>
  <si>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</si>
  <si>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</si>
  <si>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</si>
  <si>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</si>
  <si>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</si>
  <si>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</si>
  <si>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</si>
  <si>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</si>
  <si>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</si>
  <si>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</si>
  <si>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</si>
  <si>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>Previsão de MC1 as 10:30h</t>
  </si>
  <si>
    <t>TGR/TIQ2</t>
  </si>
  <si>
    <t>Descarga de pedra SB 710TSF 90min
SB TSF1 45min
SB TSF732 45min</t>
  </si>
  <si>
    <t>2 (Enio e Daniel</t>
  </si>
  <si>
    <t>Aguardando descanso da equipe para finalizar carregamento</t>
  </si>
  <si>
    <t>Em D-1 não foi finalizado o carregamento de pedra devido atraso no acionamento dos maquinistas da escala, devido a isso irá finalizar carregamento e deslocar pra TIQ</t>
  </si>
  <si>
    <t>TGR-TAL</t>
  </si>
  <si>
    <t>TGRTAL</t>
  </si>
  <si>
    <t>Aguardando MC1</t>
  </si>
  <si>
    <t>Pronto as 9h</t>
  </si>
  <si>
    <t>Previsão de MC1 as 9h</t>
  </si>
  <si>
    <t>Previsão de pronto as 9h</t>
  </si>
  <si>
    <t>Inspeção de auto de linha</t>
  </si>
  <si>
    <t>Mecânica deslocando para trocar antena do EOT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</si>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</sst>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14" fontId="8" fillId="3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BB315" activePane="bottomRight" state="frozen"/>
      <selection pane="bottomRight" activeCell="BJ323" sqref="BJ3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1137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1138</v>
      </c>
      <c r="BI1" s="365"/>
      <c r="BJ1" s="366"/>
      <c r="BK1" s="367"/>
      <c r="BL1" s="49"/>
      <c r="BM1" s="357" t="s">
        <v>1139</v>
      </c>
      <c r="BN1" s="358"/>
      <c r="BO1" s="358"/>
      <c r="BP1" s="358"/>
      <c r="BQ1" s="358"/>
      <c r="BR1" s="358"/>
      <c r="BS1" s="35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0" t="s">
        <v>1140</v>
      </c>
      <c r="AJ2" s="361"/>
      <c r="AK2" s="361"/>
      <c r="AL2" s="361"/>
      <c r="AM2" s="361"/>
      <c r="AN2" s="361"/>
      <c r="AO2" s="361"/>
      <c r="AP2" s="361"/>
      <c r="AQ2" s="363"/>
      <c r="AR2" s="234"/>
      <c r="AS2" s="375" t="s">
        <v>1143</v>
      </c>
      <c r="AT2" s="362"/>
      <c r="AU2" s="362"/>
      <c r="AV2" s="362"/>
      <c r="AW2" s="362"/>
      <c r="AX2" s="361"/>
      <c r="AY2" s="363"/>
      <c r="AZ2" s="4"/>
      <c r="BA2" s="354" t="s">
        <v>1144</v>
      </c>
      <c r="BB2" s="356"/>
      <c r="BC2" s="360" t="s">
        <v>1141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4" t="s">
        <v>1145</v>
      </c>
      <c r="AJ3" s="356"/>
      <c r="AK3" s="354" t="s">
        <v>1146</v>
      </c>
      <c r="AL3" s="355"/>
      <c r="AM3" s="355"/>
      <c r="AN3" s="355"/>
      <c r="AO3" s="355"/>
      <c r="AP3" s="355"/>
      <c r="AQ3" s="356"/>
      <c r="AR3" s="235"/>
      <c r="AS3" s="378" t="s">
        <v>1152</v>
      </c>
      <c r="AT3" s="379"/>
      <c r="AU3" s="378" t="s">
        <v>1153</v>
      </c>
      <c r="AV3" s="379"/>
      <c r="AW3" s="378" t="s">
        <v>1154</v>
      </c>
      <c r="AX3" s="380"/>
      <c r="AY3" s="63" t="s">
        <v>1155</v>
      </c>
      <c r="AZ3" s="63"/>
      <c r="BA3" s="376"/>
      <c r="BB3" s="377"/>
      <c r="BC3" s="354" t="s">
        <v>1148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1156</v>
      </c>
      <c r="BN3" s="358"/>
      <c r="BO3" s="358"/>
      <c r="BP3" s="359"/>
      <c r="BQ3" s="357" t="s">
        <v>161</v>
      </c>
      <c r="BR3" s="358"/>
      <c r="BS3" s="35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347">
        <v>4539</v>
      </c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2</v>
      </c>
      <c r="BI260" s="16"/>
      <c r="BJ260" s="16" t="s">
        <v>1532</v>
      </c>
      <c r="BK260" s="16" t="s">
        <v>1533</v>
      </c>
      <c r="BL260" s="15"/>
      <c r="BM260" s="14" t="s">
        <v>398</v>
      </c>
      <c r="BN260" s="14" t="s">
        <v>398</v>
      </c>
      <c r="BO260" s="160" t="s">
        <v>398</v>
      </c>
      <c r="BP260" s="16"/>
      <c r="BQ260" s="12" t="str">
        <f t="shared" si="32"/>
        <v>Aderente</v>
      </c>
      <c r="BR260" s="18">
        <f t="shared" si="33"/>
        <v>1</v>
      </c>
      <c r="BS260" s="18">
        <f t="shared" si="34"/>
        <v>1.3508928571428571</v>
      </c>
      <c r="BT260" s="220" t="str">
        <f t="shared" si="26"/>
        <v>OKOK</v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4.1666666666666664E-2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>
        <v>0.99444444444444446</v>
      </c>
      <c r="AS263" s="38">
        <v>0</v>
      </c>
      <c r="AT263" s="38">
        <v>4.1666666666666664E-2</v>
      </c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4.1666666666666664E-2</v>
      </c>
      <c r="AZ263" s="13"/>
      <c r="BA263" s="347">
        <v>1</v>
      </c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>
        <v>2</v>
      </c>
      <c r="BI263" s="16"/>
      <c r="BJ263" s="16" t="s">
        <v>1538</v>
      </c>
      <c r="BK263" s="16" t="s">
        <v>1538</v>
      </c>
      <c r="BL263" s="15"/>
      <c r="BM263" s="14" t="s">
        <v>398</v>
      </c>
      <c r="BN263" s="14" t="s">
        <v>398</v>
      </c>
      <c r="BO263" s="160" t="s">
        <v>398</v>
      </c>
      <c r="BP263" s="16"/>
      <c r="BQ263" s="12" t="str">
        <f t="shared" si="32"/>
        <v>Aderente</v>
      </c>
      <c r="BR263" s="18">
        <f t="shared" si="33"/>
        <v>1</v>
      </c>
      <c r="BS263" s="18">
        <f t="shared" si="34"/>
        <v>1</v>
      </c>
      <c r="BT263" s="220" t="str">
        <f t="shared" si="26"/>
        <v>OKOK</v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</v>
      </c>
      <c r="B267" s="166"/>
      <c r="C267" s="8" t="str">
        <f>IF(BS_CONTROLE[[#This Row],[DATA]]="","",WEEKNUM(BS_CONTROLE[[#This Row],[DATA]]))</f>
        <v/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1539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1540</v>
      </c>
      <c r="BK267" s="16" t="s">
        <v>1540</v>
      </c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1541</v>
      </c>
      <c r="BK270" s="16" t="s">
        <v>1542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1543</v>
      </c>
      <c r="O273" s="168">
        <v>0.33333333333333331</v>
      </c>
      <c r="P273" s="168">
        <v>4.1666666666666664E-2</v>
      </c>
      <c r="Q273" s="83">
        <v>200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200</v>
      </c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2</v>
      </c>
      <c r="BI273" s="16"/>
      <c r="BJ273" s="16" t="s">
        <v>1544</v>
      </c>
      <c r="BK273" s="16" t="s">
        <v>1545</v>
      </c>
      <c r="BL273" s="15"/>
      <c r="BM273" s="14" t="s">
        <v>398</v>
      </c>
      <c r="BN273" s="14" t="s">
        <v>398</v>
      </c>
      <c r="BO273" s="160" t="s">
        <v>398</v>
      </c>
      <c r="BP273" s="16"/>
      <c r="BQ273" s="12" t="str">
        <f t="shared" si="32"/>
        <v>Aderente</v>
      </c>
      <c r="BR273" s="18">
        <f t="shared" si="33"/>
        <v>1</v>
      </c>
      <c r="BS273" s="18">
        <f t="shared" si="34"/>
        <v>1</v>
      </c>
      <c r="BT273" s="220" t="str">
        <f t="shared" si="26"/>
        <v>OKOK</v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0.58194444444444449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0.14166666666666672</v>
      </c>
      <c r="AZ275" s="13"/>
      <c r="BA275" s="353">
        <v>2215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1546</v>
      </c>
      <c r="BK275" s="16" t="s">
        <v>1547</v>
      </c>
      <c r="BL275" s="15"/>
      <c r="BM275" s="14" t="s">
        <v>398</v>
      </c>
      <c r="BN275" s="14" t="s">
        <v>398</v>
      </c>
      <c r="BO275" s="160" t="s">
        <v>398</v>
      </c>
      <c r="BP275" s="16"/>
      <c r="BQ275" s="12" t="str">
        <f t="shared" si="32"/>
        <v>Aderente</v>
      </c>
      <c r="BR275" s="18">
        <f t="shared" si="33"/>
        <v>1.1333333333333337</v>
      </c>
      <c r="BS275" s="18">
        <f t="shared" si="34"/>
        <v>4.43</v>
      </c>
      <c r="BT275" s="220" t="str">
        <f t="shared" ref="BT275:BT338" si="39">IF(BN275="","",SUBSTITUTE(BM275," ","")&amp;SUBSTITUTE(BN275," ",""))</f>
        <v>OKOK</v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1548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1549</v>
      </c>
      <c r="BK284" s="16" t="s">
        <v>1550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1551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1552</v>
      </c>
      <c r="BK286" s="16" t="s">
        <v>1553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>E14</v>
      </c>
      <c r="B288" s="166"/>
      <c r="C288" s="8" t="str">
        <f>IF(BS_CONTROLE[[#This Row],[DATA]]="","",WEEKNUM(BS_CONTROLE[[#This Row],[DATA]]))</f>
        <v/>
      </c>
      <c r="D288" s="51" t="s">
        <v>150</v>
      </c>
      <c r="E288" s="314">
        <v>290</v>
      </c>
      <c r="F288" s="167" t="s">
        <v>108</v>
      </c>
      <c r="G288" s="9" t="str">
        <f>IF(D288="","*",VLOOKUP(F288,BS_ATIVIDADE[#All],3,FALSE))</f>
        <v>MECANIZAÇÃO - ESMERILHADORA</v>
      </c>
      <c r="H288" s="168" t="s">
        <v>892</v>
      </c>
      <c r="I288" s="168" t="s">
        <v>885</v>
      </c>
      <c r="J288" s="212">
        <v>103</v>
      </c>
      <c r="K288" s="212">
        <v>2075</v>
      </c>
      <c r="L288" s="83">
        <v>2029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88" s="168">
        <v>0.99930555555555556</v>
      </c>
      <c r="P288" s="168">
        <v>4.1666666666666664E-2</v>
      </c>
      <c r="Q288" s="83">
        <v>20000</v>
      </c>
      <c r="R288" s="10" t="str">
        <f>IFERROR(_xlfn.XLOOKUP(F288, BS_ATIVIDADE[ATIVIDADE],BS_ATIVIDADE[UNIDADE] ), "*")</f>
        <v>M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8" s="80" t="str">
        <f>IFERROR(_xlfn.XLOOKUP(J288, BASE_MAPA!$E$2:$E$359, BASE_MAPA!$J$2:$J$359), "ERRO")</f>
        <v>OURO VERDE - LIGAÇÃO</v>
      </c>
      <c r="V288" s="193" t="s">
        <v>1444</v>
      </c>
      <c r="W288" s="324" t="s">
        <v>1554</v>
      </c>
      <c r="X288" s="213" t="s">
        <v>374</v>
      </c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MECANIZAÇÃO - ESMERILHADORA</v>
      </c>
      <c r="AJ288" s="9" t="str">
        <f>IF(D288="","*",VLOOKUP(AI288,BS_ATIVIDADE[#Data],3,FALSE))</f>
        <v>MECANIZAÇÃO - ESMERILHADORA</v>
      </c>
      <c r="AK288" s="279" t="str">
        <f>IF(BS_CONTROLE[[#This Row],[Local - Partida]]=0, "-", BS_CONTROLE[[#This Row],[Local - Partida]])</f>
        <v>PUD</v>
      </c>
      <c r="AL288" s="279" t="str">
        <f>IF(BS_CONTROLE[[#This Row],[Local - Encerramento]]=0, "-", BS_CONTROLE[[#This Row],[Local - Encerramento]])</f>
        <v>PSS</v>
      </c>
      <c r="AM288" s="279" t="str">
        <f>IF(BS_CONTROLE[[#This Row],[Entre - Estações]]=0, "-", BS_CONTROLE[[#This Row],[Entre - Estações]])</f>
        <v>PUD-K57</v>
      </c>
      <c r="AN288" s="279" t="str">
        <f>IF(BS_CONTROLE[[#This Row],[SB]]=0, "-", BS_CONTROLE[[#This Row],[SB]])</f>
        <v>PUDK56</v>
      </c>
      <c r="AO288" s="280">
        <f>IF(BS_CONTROLE[[#This Row],[SUB]]=0, "-", BS_CONTROLE[[#This Row],[SUB]])</f>
        <v>103</v>
      </c>
      <c r="AP288" s="281">
        <f>IF(BS_CONTROLE[[#This Row],[KM - Inicio]]=0, "-", BS_CONTROLE[[#This Row],[KM - Inicio]])</f>
        <v>2075</v>
      </c>
      <c r="AQ288" s="281">
        <f>IF(BS_CONTROLE[[#This Row],[KM - Fim]]=0, "-", BS_CONTROLE[[#This Row],[KM - Fim]])</f>
        <v>2029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M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8" s="11" t="str">
        <f>IFERROR(_xlfn.XLOOKUP(AO288, BASE_MAPA!$E$2:$E$359, BASE_MAPA!$J$2:$J$359), "ERRO")</f>
        <v>OURO VERDE - LIGAÇÃO</v>
      </c>
      <c r="BF288" s="282" t="str">
        <f>IF(BS_CONTROLE[[#This Row],[Responsavel pelo boletim]]=0, "-", BS_CONTROLE[[#This Row],[Responsavel pelo boletim]])</f>
        <v>Fernanda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1555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1556</v>
      </c>
      <c r="W289" s="168" t="s">
        <v>1557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1558</v>
      </c>
      <c r="BK289" s="16" t="s">
        <v>1558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>E48</v>
      </c>
      <c r="B291" s="352"/>
      <c r="C291" s="8" t="str">
        <f>IF(BS_CONTROLE[[#This Row],[DATA]]="","",WEEKNUM(BS_CONTROLE[[#This Row],[DATA]]))</f>
        <v/>
      </c>
      <c r="D291" s="51" t="s">
        <v>1510</v>
      </c>
      <c r="E291" s="315">
        <v>293</v>
      </c>
      <c r="F291" s="167" t="s">
        <v>25</v>
      </c>
      <c r="G291" s="9" t="str">
        <f>IF(D291="","*",VLOOKUP(F291,BS_ATIVIDADE[#All],3,FALSE))</f>
        <v>OUTROS</v>
      </c>
      <c r="H291" s="168" t="s">
        <v>1058</v>
      </c>
      <c r="I291" s="168" t="s">
        <v>1511</v>
      </c>
      <c r="J291" s="212">
        <v>78</v>
      </c>
      <c r="K291" s="212">
        <v>334</v>
      </c>
      <c r="L291" s="83" t="s">
        <v>11</v>
      </c>
      <c r="M291" s="199" t="s">
        <v>1512</v>
      </c>
      <c r="N291" s="199" t="s">
        <v>1512</v>
      </c>
      <c r="O291" s="168">
        <v>0.45833333333333331</v>
      </c>
      <c r="P291" s="168">
        <v>4.1666666666666664E-2</v>
      </c>
      <c r="Q291" s="83">
        <v>1</v>
      </c>
      <c r="R291" s="10" t="s">
        <v>9</v>
      </c>
      <c r="S291" s="284" t="s">
        <v>623</v>
      </c>
      <c r="T291" s="284" t="s">
        <v>922</v>
      </c>
      <c r="U291" s="80" t="s">
        <v>967</v>
      </c>
      <c r="V291" s="193" t="s">
        <v>1254</v>
      </c>
      <c r="W291" s="168" t="s">
        <v>1513</v>
      </c>
      <c r="X291" s="213" t="s">
        <v>374</v>
      </c>
      <c r="Y291" s="153" t="s">
        <v>377</v>
      </c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9" t="str">
        <f>IF(BS_CONTROLE[[#This Row],[Local - Partida]]=0, "-", BS_CONTROLE[[#This Row],[Local - Partida]])</f>
        <v>ZTP</v>
      </c>
      <c r="AL291" s="279" t="str">
        <f>IF(BS_CONTROLE[[#This Row],[Local - Encerramento]]=0, "-", BS_CONTROLE[[#This Row],[Local - Encerramento]])</f>
        <v>ZPG</v>
      </c>
      <c r="AM291" s="279" t="str">
        <f>IF(BS_CONTROLE[[#This Row],[Entre - Estações]]=0, "-", BS_CONTROLE[[#This Row],[Entre - Estações]])</f>
        <v>ZTP-ZPG</v>
      </c>
      <c r="AN291" s="279" t="str">
        <f>IF(BS_CONTROLE[[#This Row],[SB]]=0, "-", BS_CONTROLE[[#This Row],[SB]])</f>
        <v>ZTP-ZPG</v>
      </c>
      <c r="AO291" s="280">
        <f>IF(BS_CONTROLE[[#This Row],[SUB]]=0, "-", BS_CONTROLE[[#This Row],[SUB]])</f>
        <v>78</v>
      </c>
      <c r="AP291" s="281">
        <f>IF(BS_CONTROLE[[#This Row],[KM - Inicio]]=0, "-", BS_CONTROLE[[#This Row],[KM - Inicio]])</f>
        <v>334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1" s="11" t="str">
        <f>IFERROR(_xlfn.XLOOKUP(AO291, BASE_MAPA!$E$2:$E$359, BASE_MAPA!$J$2:$J$359), "ERRO")</f>
        <v>ITIRAPINA - BAURU</v>
      </c>
      <c r="BF291" s="282" t="str">
        <f>IF(BS_CONTROLE[[#This Row],[Responsavel pelo boletim]]=0, "-", BS_CONTROLE[[#This Row],[Responsavel pelo boletim]])</f>
        <v>PCM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746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95" s="331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 t="s">
        <v>1229</v>
      </c>
      <c r="X295" s="213" t="s">
        <v>369</v>
      </c>
      <c r="Y295" s="153" t="s">
        <v>368</v>
      </c>
      <c r="Z295" s="153"/>
      <c r="AA295" s="83">
        <v>1</v>
      </c>
      <c r="AB295" s="70" t="s">
        <v>366</v>
      </c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 t="str">
        <f>IF(BS_CONTROLE[[#This Row],[SB]]=0, "-", BS_CONTROLE[[#This Row],[SB]])</f>
        <v>744TEX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746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 t="s">
        <v>1559</v>
      </c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352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 t="s">
        <v>1254</v>
      </c>
      <c r="W298" s="168" t="s">
        <v>1537</v>
      </c>
      <c r="X298" s="213"/>
      <c r="Y298" s="153"/>
      <c r="Z298" s="153"/>
      <c r="AA298" s="83">
        <v>2</v>
      </c>
      <c r="AB298" s="70" t="s">
        <v>371</v>
      </c>
      <c r="AC298" s="70"/>
      <c r="AD298" s="168">
        <v>0.29166666666666669</v>
      </c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PCM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1560</v>
      </c>
      <c r="I301" s="331" t="s">
        <v>618</v>
      </c>
      <c r="J301" s="212">
        <v>98</v>
      </c>
      <c r="K301" s="212">
        <v>718.3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01" s="168">
        <v>0.41666666666666669</v>
      </c>
      <c r="P301" s="168">
        <v>0.125</v>
      </c>
      <c r="Q301" s="83">
        <v>28</v>
      </c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1561</v>
      </c>
      <c r="X301" s="213" t="s">
        <v>369</v>
      </c>
      <c r="Y301" s="153" t="s">
        <v>368</v>
      </c>
      <c r="Z301" s="153"/>
      <c r="AA301" s="83" t="s">
        <v>1562</v>
      </c>
      <c r="AB301" s="70" t="s">
        <v>366</v>
      </c>
      <c r="AC301" s="70"/>
      <c r="AD301" s="168"/>
      <c r="AE301" s="83"/>
      <c r="AF301" s="83"/>
      <c r="AG301" s="83"/>
      <c r="AH301" s="48"/>
      <c r="AI301" s="141" t="s">
        <v>25</v>
      </c>
      <c r="AJ301" s="9" t="str">
        <f>IF(D301="","*",VLOOKUP(AI301,BS_ATIVIDADE[#Data],3,FALSE))</f>
        <v>OUTROS</v>
      </c>
      <c r="AK301" s="279" t="str">
        <f>IF(BS_CONTROLE[[#This Row],[Local - Partida]]=0, "-", BS_CONTROLE[[#This Row],[Local - Partida]])</f>
        <v>TGR/TIQ2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TAL-TSF</v>
      </c>
      <c r="AN301" s="279" t="str">
        <f>IF(BS_CONTROLE[[#This Row],[SB]]=0, "-", BS_CONTROLE[[#This Row],[SB]])</f>
        <v>710TSF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718.3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BINÁRIO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 t="s">
        <v>1563</v>
      </c>
      <c r="BK301" s="16"/>
      <c r="BL301" s="15"/>
      <c r="BM301" s="14"/>
      <c r="BN301" s="14"/>
      <c r="BO301" s="160"/>
      <c r="BP301" s="16" t="s">
        <v>1564</v>
      </c>
      <c r="BQ301" s="12" t="str">
        <f t="shared" si="45"/>
        <v>Produção e Intervalo</v>
      </c>
      <c r="BR301" s="18">
        <f t="shared" si="46"/>
        <v>0</v>
      </c>
      <c r="BS301" s="18">
        <f t="shared" si="47"/>
        <v>0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604</v>
      </c>
      <c r="J303" s="212">
        <v>98</v>
      </c>
      <c r="K303" s="212">
        <v>502</v>
      </c>
      <c r="L303" s="83" t="s">
        <v>11</v>
      </c>
      <c r="M303" s="199" t="s">
        <v>1565</v>
      </c>
      <c r="N303" s="199" t="s">
        <v>1566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1284</v>
      </c>
      <c r="W303" s="168" t="s">
        <v>1290</v>
      </c>
      <c r="X303" s="213" t="s">
        <v>374</v>
      </c>
      <c r="Y303" s="153" t="s">
        <v>377</v>
      </c>
      <c r="Z303" s="153"/>
      <c r="AA303" s="83">
        <v>1</v>
      </c>
      <c r="AB303" s="70" t="s">
        <v>366</v>
      </c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TAL</v>
      </c>
      <c r="AM303" s="279" t="str">
        <f>IF(BS_CONTROLE[[#This Row],[Entre - Estações]]=0, "-", BS_CONTROLE[[#This Row],[Entre - Estações]])</f>
        <v>TGR-TAL</v>
      </c>
      <c r="AN303" s="279" t="str">
        <f>IF(BS_CONTROLE[[#This Row],[SB]]=0, "-", BS_CONTROLE[[#This Row],[SB]])</f>
        <v>TGRTAL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Herbert</v>
      </c>
      <c r="BG303" s="15"/>
      <c r="BH303" s="16"/>
      <c r="BI303" s="16"/>
      <c r="BJ303" s="16" t="s">
        <v>1567</v>
      </c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430.2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1245</v>
      </c>
      <c r="W305" s="168" t="s">
        <v>1309</v>
      </c>
      <c r="X305" s="213" t="s">
        <v>374</v>
      </c>
      <c r="Y305" s="153" t="s">
        <v>377</v>
      </c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430.2</v>
      </c>
      <c r="AQ305" s="281" t="str">
        <f>IF(BS_CONTROLE[[#This Row],[KM - Fim]]=0, "-", BS_CONTROLE[[#This Row],[KM - Fim]])</f>
        <v>-</v>
      </c>
      <c r="AR305" s="38">
        <v>0.375</v>
      </c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Silmara</v>
      </c>
      <c r="BG305" s="15"/>
      <c r="BH305" s="16">
        <v>1</v>
      </c>
      <c r="BI305" s="16"/>
      <c r="BJ305" s="16" t="s">
        <v>1568</v>
      </c>
      <c r="BK305" s="16"/>
      <c r="BL305" s="15"/>
      <c r="BM305" s="14"/>
      <c r="BN305" s="14"/>
      <c r="BO305" s="160"/>
      <c r="BP305" s="16"/>
      <c r="BQ305" s="12" t="str">
        <f t="shared" si="45"/>
        <v>Produção e Intervalo</v>
      </c>
      <c r="BR305" s="18">
        <f t="shared" si="46"/>
        <v>0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V6646037</v>
      </c>
      <c r="B309" s="166">
        <v>46037</v>
      </c>
      <c r="C309" s="8">
        <f>IF(BS_CONTROLE[[#This Row],[DATA]]="","",WEEKNUM(BS_CONTROLE[[#This Row],[DATA]]))</f>
        <v>3</v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 t="s">
        <v>1321</v>
      </c>
      <c r="W309" s="168" t="s">
        <v>1474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Augusto</v>
      </c>
      <c r="BG309" s="15"/>
      <c r="BH309" s="16"/>
      <c r="BI309" s="16"/>
      <c r="BJ309" s="16" t="s">
        <v>1569</v>
      </c>
      <c r="BK309" s="16"/>
      <c r="BL309" s="15"/>
      <c r="BM309" s="14"/>
      <c r="BN309" s="14"/>
      <c r="BO309" s="160"/>
      <c r="BP309" s="16"/>
      <c r="BQ309" s="12" t="str">
        <f t="shared" si="45"/>
        <v>Produção e Intervalo</v>
      </c>
      <c r="BR309" s="18">
        <f t="shared" si="46"/>
        <v>0</v>
      </c>
      <c r="BS309" s="18">
        <f t="shared" si="47"/>
        <v>0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(TF-520)46037</v>
      </c>
      <c r="B312" s="166">
        <v>46037</v>
      </c>
      <c r="C312" s="8">
        <f>IF(BS_CONTROLE[[#This Row],[DATA]]="","",WEEKNUM(BS_CONTROLE[[#This Row],[DATA]]))</f>
        <v>3</v>
      </c>
      <c r="D312" s="51" t="s">
        <v>330</v>
      </c>
      <c r="E312" s="314">
        <v>314</v>
      </c>
      <c r="F312" s="167" t="s">
        <v>194</v>
      </c>
      <c r="G312" s="9" t="str">
        <f>IF(D312="","*",VLOOKUP(F312,BS_ATIVIDADE[#All],3,FALSE))</f>
        <v>SOLDA</v>
      </c>
      <c r="H312" s="168" t="s">
        <v>721</v>
      </c>
      <c r="I312" s="168" t="s">
        <v>11</v>
      </c>
      <c r="J312" s="212">
        <v>74</v>
      </c>
      <c r="K312" s="212">
        <v>80.3</v>
      </c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312" s="168">
        <v>0.375</v>
      </c>
      <c r="P312" s="168">
        <v>8.3333333333333329E-2</v>
      </c>
      <c r="Q312" s="83">
        <v>2</v>
      </c>
      <c r="R312" s="10" t="str">
        <f>IFERROR(_xlfn.XLOOKUP(F312, BS_ATIVIDADE[ATIVIDADE],BS_ATIVIDADE[UNIDADE] ), "*")</f>
        <v>Nº DE SOLDA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80" t="str">
        <f>IFERROR(_xlfn.XLOOKUP(J312, BASE_MAPA!$E$2:$E$359, BASE_MAPA!$J$2:$J$359), "ERRO")</f>
        <v>MARCO INICIAL - ALTO ARAGUAIA</v>
      </c>
      <c r="V312" s="193" t="s">
        <v>1284</v>
      </c>
      <c r="W312" s="168" t="s">
        <v>1309</v>
      </c>
      <c r="X312" s="213" t="s">
        <v>374</v>
      </c>
      <c r="Y312" s="153" t="s">
        <v>377</v>
      </c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9" t="str">
        <f>IF(BS_CONTROLE[[#This Row],[Local - Partida]]=0, "-", BS_CONTROLE[[#This Row],[Local - Partida]])</f>
        <v>K73TSP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TQI-TSP</v>
      </c>
      <c r="AN312" s="279" t="str">
        <f>IF(BS_CONTROLE[[#This Row],[SB]]=0, "-", BS_CONTROLE[[#This Row],[SB]])</f>
        <v>K73TSP</v>
      </c>
      <c r="AO312" s="280">
        <f>IF(BS_CONTROLE[[#This Row],[SUB]]=0, "-", BS_CONTROLE[[#This Row],[SUB]])</f>
        <v>74</v>
      </c>
      <c r="AP312" s="281">
        <f>IF(BS_CONTROLE[[#This Row],[KM - Inicio]]=0, "-", BS_CONTROLE[[#This Row],[KM - Inicio]])</f>
        <v>80.3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1" t="str">
        <f>IFERROR(_xlfn.XLOOKUP(AO312, BASE_MAPA!$E$2:$E$359, BASE_MAPA!$J$2:$J$359), "ERRO")</f>
        <v>MARCO INICIAL - ALTO ARAGUAIA</v>
      </c>
      <c r="BF312" s="282" t="str">
        <f>IF(BS_CONTROLE[[#This Row],[Responsavel pelo boletim]]=0, "-", BS_CONTROLE[[#This Row],[Responsavel pelo boletim]])</f>
        <v>Herbert</v>
      </c>
      <c r="BG312" s="15"/>
      <c r="BH312" s="16"/>
      <c r="BI312" s="16"/>
      <c r="BJ312" s="16" t="s">
        <v>1570</v>
      </c>
      <c r="BK312" s="16"/>
      <c r="BL312" s="15"/>
      <c r="BM312" s="14"/>
      <c r="BN312" s="14"/>
      <c r="BO312" s="160"/>
      <c r="BP312" s="16"/>
      <c r="BQ312" s="12" t="str">
        <f t="shared" si="45"/>
        <v>Produção e Intervalo</v>
      </c>
      <c r="BR312" s="18">
        <f t="shared" si="46"/>
        <v>0</v>
      </c>
      <c r="BS312" s="18">
        <f t="shared" si="47"/>
        <v>0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>A8846037</v>
      </c>
      <c r="B319" s="166">
        <v>46037</v>
      </c>
      <c r="C319" s="8">
        <f>IF(BS_CONTROLE[[#This Row],[DATA]]="","",WEEKNUM(BS_CONTROLE[[#This Row],[DATA]]))</f>
        <v>3</v>
      </c>
      <c r="D319" s="51" t="s">
        <v>144</v>
      </c>
      <c r="E319" s="314">
        <v>321</v>
      </c>
      <c r="F319" s="167" t="s">
        <v>85</v>
      </c>
      <c r="G319" s="9" t="str">
        <f>IF(D319="","*",VLOOKUP(F319,BS_ATIVIDADE[#All],3,FALSE))</f>
        <v>OUTROS</v>
      </c>
      <c r="H319" s="168" t="s">
        <v>974</v>
      </c>
      <c r="I319" s="168" t="s">
        <v>994</v>
      </c>
      <c r="J319" s="212">
        <v>78</v>
      </c>
      <c r="K319" s="212">
        <v>189.45</v>
      </c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19" s="168">
        <v>0.375</v>
      </c>
      <c r="P319" s="168">
        <v>4.1666666666666664E-2</v>
      </c>
      <c r="Q319" s="83">
        <v>1</v>
      </c>
      <c r="R319" s="10" t="str">
        <f>IFERROR(_xlfn.XLOOKUP(F319, BS_ATIVIDADE[ATIVIDADE],BS_ATIVIDADE[UNIDADE] ), "*")</f>
        <v>BINÁRIO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80" t="str">
        <f>IFERROR(_xlfn.XLOOKUP(J319, BASE_MAPA!$E$2:$E$359, BASE_MAPA!$J$2:$J$359), "ERRO")</f>
        <v>ITIRAPINA - BAURU</v>
      </c>
      <c r="V319" s="193" t="s">
        <v>1556</v>
      </c>
      <c r="W319" s="168" t="s">
        <v>1571</v>
      </c>
      <c r="X319" s="213" t="s">
        <v>374</v>
      </c>
      <c r="Y319" s="153" t="s">
        <v>377</v>
      </c>
      <c r="Z319" s="153"/>
      <c r="AA319" s="83">
        <v>1</v>
      </c>
      <c r="AB319" s="70" t="s">
        <v>366</v>
      </c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INSPEÇÃO AUTO DE LINHA</v>
      </c>
      <c r="AJ319" s="9" t="str">
        <f>IF(D319="","*",VLOOKUP(AI319,BS_ATIVIDADE[#Data],3,FALSE))</f>
        <v>OUTROS</v>
      </c>
      <c r="AK319" s="279" t="str">
        <f>IF(BS_CONTROLE[[#This Row],[Local - Partida]]=0, "-", BS_CONTROLE[[#This Row],[Local - Partida]])</f>
        <v>ZFH2</v>
      </c>
      <c r="AL319" s="279" t="str">
        <f>IF(BS_CONTROLE[[#This Row],[Local - Encerramento]]=0, "-", BS_CONTROLE[[#This Row],[Local - Encerramento]])</f>
        <v>ZTR</v>
      </c>
      <c r="AM319" s="279" t="str">
        <f>IF(BS_CONTROLE[[#This Row],[Entre - Estações]]=0, "-", BS_CONTROLE[[#This Row],[Entre - Estações]])</f>
        <v>ZQY-ZFH</v>
      </c>
      <c r="AN319" s="279" t="str">
        <f>IF(BS_CONTROLE[[#This Row],[SB]]=0, "-", BS_CONTROLE[[#This Row],[SB]])</f>
        <v>ZQYZFH</v>
      </c>
      <c r="AO319" s="280">
        <f>IF(BS_CONTROLE[[#This Row],[SUB]]=0, "-", BS_CONTROLE[[#This Row],[SUB]])</f>
        <v>78</v>
      </c>
      <c r="AP319" s="281">
        <f>IF(BS_CONTROLE[[#This Row],[KM - Inicio]]=0, "-", BS_CONTROLE[[#This Row],[KM - Inicio]])</f>
        <v>189.45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BINÁRIO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1" t="str">
        <f>IFERROR(_xlfn.XLOOKUP(AO319, BASE_MAPA!$E$2:$E$359, BASE_MAPA!$J$2:$J$359), "ERRO")</f>
        <v>ITIRAPINA - BAURU</v>
      </c>
      <c r="BF319" s="282" t="str">
        <f>IF(BS_CONTROLE[[#This Row],[Responsavel pelo boletim]]=0, "-", BS_CONTROLE[[#This Row],[Responsavel pelo boletim]])</f>
        <v>Paulo</v>
      </c>
      <c r="BG319" s="15"/>
      <c r="BH319" s="16"/>
      <c r="BI319" s="16"/>
      <c r="BJ319" s="16" t="s">
        <v>1569</v>
      </c>
      <c r="BK319" s="16"/>
      <c r="BL319" s="15"/>
      <c r="BM319" s="14"/>
      <c r="BN319" s="14"/>
      <c r="BO319" s="160"/>
      <c r="BP319" s="16"/>
      <c r="BQ319" s="12" t="str">
        <f t="shared" si="45"/>
        <v>Produção e Intervalo</v>
      </c>
      <c r="BR319" s="18">
        <f t="shared" si="46"/>
        <v>0</v>
      </c>
      <c r="BS319" s="18">
        <f t="shared" si="47"/>
        <v>0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>E4846037</v>
      </c>
      <c r="B322" s="398">
        <v>46037</v>
      </c>
      <c r="C322" s="8">
        <f>IF(BS_CONTROLE[[#This Row],[DATA]]="","",WEEKNUM(BS_CONTROLE[[#This Row],[DATA]]))</f>
        <v>3</v>
      </c>
      <c r="D322" s="51" t="s">
        <v>1510</v>
      </c>
      <c r="E322" s="314">
        <v>324</v>
      </c>
      <c r="F322" s="167" t="s">
        <v>25</v>
      </c>
      <c r="G322" s="9" t="str">
        <f>IF(D322="","*",VLOOKUP(F322,BS_ATIVIDADE[#All],3,FALSE))</f>
        <v>OUTROS</v>
      </c>
      <c r="H322" s="168" t="s">
        <v>1058</v>
      </c>
      <c r="I322" s="168" t="s">
        <v>1511</v>
      </c>
      <c r="J322" s="212">
        <v>78</v>
      </c>
      <c r="K322" s="212">
        <v>334</v>
      </c>
      <c r="L322" s="83" t="s">
        <v>11</v>
      </c>
      <c r="M322" s="199" t="s">
        <v>1512</v>
      </c>
      <c r="N322" s="199" t="s">
        <v>1512</v>
      </c>
      <c r="O322" s="168">
        <v>0.45833333333333331</v>
      </c>
      <c r="P322" s="168">
        <v>4.1666666666666664E-2</v>
      </c>
      <c r="Q322" s="83">
        <v>1</v>
      </c>
      <c r="R322" s="10" t="s">
        <v>9</v>
      </c>
      <c r="S322" s="284" t="s">
        <v>623</v>
      </c>
      <c r="T322" s="284" t="s">
        <v>922</v>
      </c>
      <c r="U322" s="80" t="s">
        <v>967</v>
      </c>
      <c r="V322" s="193" t="s">
        <v>1254</v>
      </c>
      <c r="W322" s="168" t="s">
        <v>1513</v>
      </c>
      <c r="X322" s="213" t="s">
        <v>374</v>
      </c>
      <c r="Y322" s="153" t="s">
        <v>377</v>
      </c>
      <c r="Z322" s="153"/>
      <c r="AA322" s="83" t="s">
        <v>1256</v>
      </c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9" t="str">
        <f>IF(BS_CONTROLE[[#This Row],[Local - Partida]]=0, "-", BS_CONTROLE[[#This Row],[Local - Partida]])</f>
        <v>ZTP</v>
      </c>
      <c r="AL322" s="279" t="str">
        <f>IF(BS_CONTROLE[[#This Row],[Local - Encerramento]]=0, "-", BS_CONTROLE[[#This Row],[Local - Encerramento]])</f>
        <v>ZPG</v>
      </c>
      <c r="AM322" s="279" t="str">
        <f>IF(BS_CONTROLE[[#This Row],[Entre - Estações]]=0, "-", BS_CONTROLE[[#This Row],[Entre - Estações]])</f>
        <v>ZTP-ZPG</v>
      </c>
      <c r="AN322" s="279" t="str">
        <f>IF(BS_CONTROLE[[#This Row],[SB]]=0, "-", BS_CONTROLE[[#This Row],[SB]])</f>
        <v>ZTP-ZPG</v>
      </c>
      <c r="AO322" s="280">
        <f>IF(BS_CONTROLE[[#This Row],[SUB]]=0, "-", BS_CONTROLE[[#This Row],[SUB]])</f>
        <v>78</v>
      </c>
      <c r="AP322" s="281">
        <f>IF(BS_CONTROLE[[#This Row],[KM - Inicio]]=0, "-", BS_CONTROLE[[#This Row],[KM - Inicio]])</f>
        <v>334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ITIRAPINA - BAURU</v>
      </c>
      <c r="BF322" s="282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 t="s">
        <v>1572</v>
      </c>
      <c r="BK322" s="16"/>
      <c r="BL322" s="15"/>
      <c r="BM322" s="14"/>
      <c r="BN322" s="14"/>
      <c r="BO322" s="160"/>
      <c r="BP322" s="16"/>
      <c r="BQ322" s="12" t="str">
        <f t="shared" si="45"/>
        <v>Produção e Intervalo</v>
      </c>
      <c r="BR322" s="18">
        <f t="shared" si="46"/>
        <v>0</v>
      </c>
      <c r="BS322" s="18">
        <f t="shared" si="47"/>
        <v>0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>
        <v>78</v>
      </c>
      <c r="K325" s="212">
        <v>208.5</v>
      </c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5" s="80" t="str">
        <f>IFERROR(_xlfn.XLOOKUP(J325, BASE_MAPA!$E$2:$E$359, BASE_MAPA!$J$2:$J$359), "ERRO")</f>
        <v>ITIRAPINA - BAURU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ZBO-ZEP</v>
      </c>
      <c r="AN325" s="279" t="str">
        <f>IF(BS_CONTROLE[[#This Row],[SB]]=0, "-", BS_CONTROLE[[#This Row],[SB]])</f>
        <v>ZBOZEP</v>
      </c>
      <c r="AO325" s="280">
        <f>IF(BS_CONTROLE[[#This Row],[SUB]]=0, "-", BS_CONTROLE[[#This Row],[SUB]])</f>
        <v>78</v>
      </c>
      <c r="AP325" s="281">
        <f>IF(BS_CONTROLE[[#This Row],[KM - Inicio]]=0, "-", BS_CONTROLE[[#This Row],[KM - Inicio]])</f>
        <v>208.5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5" s="11" t="str">
        <f>IFERROR(_xlfn.XLOOKUP(AO325, BASE_MAPA!$E$2:$E$359, BASE_MAPA!$J$2:$J$359), "ERRO")</f>
        <v>ITIRAPINA - BAURU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86 BK263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1" t="s">
        <v>1573</v>
      </c>
      <c r="D1" s="381"/>
      <c r="E1" s="381"/>
      <c r="F1" s="381"/>
      <c r="G1" s="381"/>
      <c r="H1" s="381"/>
    </row>
    <row r="2" spans="3:8">
      <c r="C2" s="381"/>
      <c r="D2" s="381"/>
      <c r="E2" s="381"/>
      <c r="F2" s="381"/>
      <c r="G2" s="381"/>
      <c r="H2" s="381"/>
    </row>
    <row r="3" spans="3:8">
      <c r="C3" s="316" t="s">
        <v>105</v>
      </c>
      <c r="D3" s="316" t="s">
        <v>1574</v>
      </c>
      <c r="E3" s="316" t="s">
        <v>1575</v>
      </c>
      <c r="F3" s="316" t="s">
        <v>1576</v>
      </c>
      <c r="G3" s="316" t="s">
        <v>1577</v>
      </c>
      <c r="H3" s="316" t="s">
        <v>1578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1579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1580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26"/>
      <c r="M1" s="123"/>
      <c r="N1" s="289"/>
      <c r="O1" s="289"/>
      <c r="P1" s="165"/>
      <c r="Q1" s="385" t="s">
        <v>1225</v>
      </c>
      <c r="R1" s="386"/>
      <c r="U1" s="101"/>
      <c r="V1" s="387" t="s">
        <v>1581</v>
      </c>
      <c r="W1" s="387"/>
      <c r="X1" s="387"/>
      <c r="Y1" s="103"/>
    </row>
    <row r="2" spans="1:25" s="100" customFormat="1" ht="11.25" customHeight="1">
      <c r="A2" s="104" t="s">
        <v>1582</v>
      </c>
      <c r="B2" s="104" t="s">
        <v>1583</v>
      </c>
      <c r="C2" s="104" t="s">
        <v>7</v>
      </c>
      <c r="D2" s="105" t="s">
        <v>1177</v>
      </c>
      <c r="E2" s="105" t="s">
        <v>1178</v>
      </c>
      <c r="F2" s="105" t="s">
        <v>1584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1585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4.1666666666666664E-2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 t="str">
        <f>IF(FN_MC!B267="","*",FN_MC!B267)</f>
        <v>*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200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Oportunidade</v>
      </c>
      <c r="C289" s="108" t="str">
        <f>IF(FN_MC!Z288="","*",FN_MC!Z288)</f>
        <v>*</v>
      </c>
      <c r="D289" s="109" t="str">
        <f>IF(FN_MC!S288="","*",FN_MC!S288)</f>
        <v>MALHA CENTRAL</v>
      </c>
      <c r="E289" s="109" t="str">
        <f>IF(FN_MC!T288="","*",FN_MC!T288)</f>
        <v>PRV-POV</v>
      </c>
      <c r="F289" s="109" t="str">
        <f>IF(FN_MC!B288="","*",FN_MC!B288)</f>
        <v>*</v>
      </c>
      <c r="G289" s="109" t="str">
        <f>IF(FN_MC!D288="","*",FN_MC!D288)</f>
        <v>E14</v>
      </c>
      <c r="H289" s="109" t="str">
        <f>IF(FN_MC!F288="","*",FN_MC!F288)</f>
        <v>MECANIZAÇÃO - ESMERILHADORA</v>
      </c>
      <c r="I289" s="109" t="str">
        <f>IF(FN_MC!H288="","*",FN_MC!H288)</f>
        <v>PUD</v>
      </c>
      <c r="J289" s="109" t="str">
        <f>IF(FN_MC!I288="","*",FN_MC!I288)</f>
        <v>PSS</v>
      </c>
      <c r="K289" s="109" t="str">
        <f>IF(FN_MC!M288="","*",FN_MC!M288)</f>
        <v>PUD-K57</v>
      </c>
      <c r="L289" s="328" t="str">
        <f>IF(FN_MC!N288="","*",FN_MC!N288)</f>
        <v>PUDK56</v>
      </c>
      <c r="M289" s="110">
        <f>IF(FN_MC!J288="","*",FN_MC!J288)</f>
        <v>103</v>
      </c>
      <c r="N289" s="291">
        <f>IF(FN_MC!K288="","*",FN_MC!K288)</f>
        <v>2075</v>
      </c>
      <c r="O289" s="291">
        <f>IF(FN_MC!L288="","*",FN_MC!L288)</f>
        <v>2029</v>
      </c>
      <c r="P289" s="110"/>
      <c r="Q289" s="127">
        <f>IF(FN_MC!O288="","*",FN_MC!O288)</f>
        <v>0.99930555555555556</v>
      </c>
      <c r="R289" s="127">
        <f>IF(FN_MC!P288="","*",FN_MC!P288)</f>
        <v>4.1666666666666664E-2</v>
      </c>
      <c r="S289" s="109" t="str">
        <f>IF(FN_MC!Q288="","*",CONCATENATE(FN_MC!Q288," ",FN_MC!R288))</f>
        <v>20000 M</v>
      </c>
      <c r="T289" s="109" t="str">
        <f>IF(FN_MC!V288="","*",FN_MC!V288)</f>
        <v>Fernanda</v>
      </c>
      <c r="U289" s="109" t="str">
        <f>IF(FN_MC!W288="","*",FN_MC!W288)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OPORTUNIDADE</v>
      </c>
      <c r="B292" s="108" t="str">
        <f>IF(FN_MC!X291="","*",FN_MC!X291)</f>
        <v>Oportunidade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RAMAL</v>
      </c>
      <c r="F292" s="109" t="str">
        <f>IF(FN_MC!B291="","*",FN_MC!B291)</f>
        <v>*</v>
      </c>
      <c r="G292" s="109" t="str">
        <f>IF(FN_MC!D291="","*",FN_MC!D291)</f>
        <v>E48</v>
      </c>
      <c r="H292" s="109" t="str">
        <f>IF(FN_MC!F291="","*",FN_MC!F291)</f>
        <v>DESLOCAMENTO</v>
      </c>
      <c r="I292" s="109" t="str">
        <f>IF(FN_MC!H291="","*",FN_MC!H291)</f>
        <v>ZTP</v>
      </c>
      <c r="J292" s="109" t="str">
        <f>IF(FN_MC!I291="","*",FN_MC!I291)</f>
        <v>ZPG</v>
      </c>
      <c r="K292" s="109" t="str">
        <f>IF(FN_MC!M291="","*",FN_MC!M291)</f>
        <v>ZTP-ZPG</v>
      </c>
      <c r="L292" s="328" t="str">
        <f>IF(FN_MC!N291="","*",FN_MC!N291)</f>
        <v>ZTP-ZPG</v>
      </c>
      <c r="M292" s="110">
        <f>IF(FN_MC!J291="","*",FN_MC!J291)</f>
        <v>78</v>
      </c>
      <c r="N292" s="291">
        <f>IF(FN_MC!K291="","*",FN_MC!K291)</f>
        <v>334</v>
      </c>
      <c r="O292" s="291" t="str">
        <f>IF(FN_MC!L291="","*",FN_MC!L291)</f>
        <v>-</v>
      </c>
      <c r="P292" s="110"/>
      <c r="Q292" s="127">
        <f>IF(FN_MC!O291="","*",FN_MC!O291)</f>
        <v>0.45833333333333331</v>
      </c>
      <c r="R292" s="127">
        <f>IF(FN_MC!P291="","*",FN_MC!P291)</f>
        <v>4.1666666666666664E-2</v>
      </c>
      <c r="S292" s="109" t="str">
        <f>IF(FN_MC!Q291="","*",CONCATENATE(FN_MC!Q291," ",FN_MC!R291))</f>
        <v>1 BINÁRIO</v>
      </c>
      <c r="T292" s="109" t="str">
        <f>IF(FN_MC!V291="","*",FN_MC!V291)</f>
        <v>PCM</v>
      </c>
      <c r="U292" s="109" t="str">
        <f>IF(FN_MC!W291="","*",FN_MC!W291)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IF(FN_MC!Y295="","*",FN_MC!Y295)</f>
        <v>SIM</v>
      </c>
      <c r="B296" s="108" t="str">
        <f>IF(FN_MC!X295="","*",FN_MC!X295)</f>
        <v>Contrato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 t="str">
        <f>IF(FN_MC!N295="","*",FN_MC!N295)</f>
        <v>744TEX</v>
      </c>
      <c r="M296" s="110">
        <f>IF(FN_MC!J295="","*",FN_MC!J295)</f>
        <v>98</v>
      </c>
      <c r="N296" s="291">
        <f>IF(FN_MC!K295="","*",FN_MC!K295)</f>
        <v>746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PCM</v>
      </c>
      <c r="U299" s="109" t="str">
        <f>IF(FN_MC!W298="","*",FN_MC!W298)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SIM</v>
      </c>
      <c r="B302" s="108" t="str">
        <f>IF(FN_MC!X301="","*",FN_MC!X301)</f>
        <v>Contrato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TGR/TIQ2</v>
      </c>
      <c r="J302" s="109" t="str">
        <f>IF(FN_MC!I301="","*",FN_MC!I301)</f>
        <v>TRO</v>
      </c>
      <c r="K302" s="109" t="str">
        <f>IF(FN_MC!M301="","*",FN_MC!M301)</f>
        <v>TAL-TSF</v>
      </c>
      <c r="L302" s="328" t="str">
        <f>IF(FN_MC!N301="","*",FN_MC!N301)</f>
        <v>710TSF</v>
      </c>
      <c r="M302" s="110">
        <f>IF(FN_MC!J301="","*",FN_MC!J301)</f>
        <v>98</v>
      </c>
      <c r="N302" s="291">
        <f>IF(FN_MC!K301="","*",FN_MC!K301)</f>
        <v>718.3</v>
      </c>
      <c r="O302" s="291" t="str">
        <f>IF(FN_MC!L301="","*",FN_MC!L301)</f>
        <v>-</v>
      </c>
      <c r="P302" s="110"/>
      <c r="Q302" s="127">
        <f>IF(FN_MC!O301="","*",FN_MC!O301)</f>
        <v>0.41666666666666669</v>
      </c>
      <c r="R302" s="127">
        <f>IF(FN_MC!P301="","*",FN_MC!P301)</f>
        <v>0.125</v>
      </c>
      <c r="S302" s="109" t="str">
        <f>IF(FN_MC!Q301="","*",CONCATENATE(FN_MC!Q301," ",FN_MC!R301))</f>
        <v>28 VAGÕES</v>
      </c>
      <c r="T302" s="109" t="str">
        <f>IF(FN_MC!V301="","*",FN_MC!V301)</f>
        <v>Camila</v>
      </c>
      <c r="U302" s="109" t="str">
        <f>IF(FN_MC!W301="","*",FN_MC!W301)</f>
        <v>Descarga de pedra SB 710TSF 90min
SB TSF1 45min
SB TSF732 45min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OPORTUNIDADE</v>
      </c>
      <c r="B304" s="108" t="str">
        <f>IF(FN_MC!X303="","*",FN_MC!X303)</f>
        <v>Oportunidade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TAL</v>
      </c>
      <c r="K304" s="109" t="str">
        <f>IF(FN_MC!M303="","*",FN_MC!M303)</f>
        <v>TGR-TAL</v>
      </c>
      <c r="L304" s="328" t="str">
        <f>IF(FN_MC!N303="","*",FN_MC!N303)</f>
        <v>TGRTAL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Herbert</v>
      </c>
      <c r="U304" s="109" t="str">
        <f>IF(FN_MC!W303="","*",FN_MC!W303)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OPORTUNIDADE</v>
      </c>
      <c r="B306" s="108" t="str">
        <f>IF(FN_MC!X305="","*",FN_MC!X305)</f>
        <v>Oportunidade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430.2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Silmara</v>
      </c>
      <c r="U306" s="109" t="str">
        <f>IF(FN_MC!W305="","*",FN_MC!W305)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>
      <c r="A310" s="108" t="str">
        <f>IF(FN_MC!Y309="","*",FN_MC!Y309)</f>
        <v>OPORTUNIDADE</v>
      </c>
      <c r="B310" s="108" t="str">
        <f>IF(FN_MC!X309="","*",FN_MC!X309)</f>
        <v>Oportunidade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>
        <f>IF(FN_MC!B309="","*",FN_MC!B309)</f>
        <v>46037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Augusto</v>
      </c>
      <c r="U310" s="109" t="str">
        <f>IF(FN_MC!W309="","*",FN_MC!W309)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OPORTUNIDADE</v>
      </c>
      <c r="B313" s="108" t="str">
        <f>IF(FN_MC!X312="","*",FN_MC!X312)</f>
        <v>Oportunidade</v>
      </c>
      <c r="C313" s="108" t="str">
        <f>IF(FN_MC!Z312="","*",FN_MC!Z312)</f>
        <v>*</v>
      </c>
      <c r="D313" s="109" t="str">
        <f>IF(FN_MC!S312="","*",FN_MC!S312)</f>
        <v>FERRONORTE</v>
      </c>
      <c r="E313" s="109" t="str">
        <f>IF(FN_MC!T312="","*",FN_MC!T312)</f>
        <v>TMI-TCS</v>
      </c>
      <c r="F313" s="109">
        <f>IF(FN_MC!B312="","*",FN_MC!B312)</f>
        <v>46037</v>
      </c>
      <c r="G313" s="109" t="str">
        <f>IF(FN_MC!D312="","*",FN_MC!D312)</f>
        <v>MARCOS (TF-520)</v>
      </c>
      <c r="H313" s="109" t="str">
        <f>IF(FN_MC!F312="","*",FN_MC!F312)</f>
        <v>PDM - SOLDA</v>
      </c>
      <c r="I313" s="109" t="str">
        <f>IF(FN_MC!H312="","*",FN_MC!H312)</f>
        <v>K73TSP</v>
      </c>
      <c r="J313" s="109" t="str">
        <f>IF(FN_MC!I312="","*",FN_MC!I312)</f>
        <v>-</v>
      </c>
      <c r="K313" s="109" t="str">
        <f>IF(FN_MC!M312="","*",FN_MC!M312)</f>
        <v>TQI-TSP</v>
      </c>
      <c r="L313" s="328" t="str">
        <f>IF(FN_MC!N312="","*",FN_MC!N312)</f>
        <v>K73TSP</v>
      </c>
      <c r="M313" s="110">
        <f>IF(FN_MC!J312="","*",FN_MC!J312)</f>
        <v>74</v>
      </c>
      <c r="N313" s="291">
        <f>IF(FN_MC!K312="","*",FN_MC!K312)</f>
        <v>80.3</v>
      </c>
      <c r="O313" s="291" t="str">
        <f>IF(FN_MC!L312="","*",FN_MC!L312)</f>
        <v>-</v>
      </c>
      <c r="P313" s="110"/>
      <c r="Q313" s="127">
        <f>IF(FN_MC!O312="","*",FN_MC!O312)</f>
        <v>0.375</v>
      </c>
      <c r="R313" s="127">
        <f>IF(FN_MC!P312="","*",FN_MC!P312)</f>
        <v>8.3333333333333329E-2</v>
      </c>
      <c r="S313" s="109" t="str">
        <f>IF(FN_MC!Q312="","*",CONCATENATE(FN_MC!Q312," ",FN_MC!R312))</f>
        <v>2 Nº DE SOLDA</v>
      </c>
      <c r="T313" s="109" t="str">
        <f>IF(FN_MC!V312="","*",FN_MC!V312)</f>
        <v>Herbert</v>
      </c>
      <c r="U313" s="109" t="str">
        <f>IF(FN_MC!W312="","*",FN_MC!W312)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OPORTUNIDADE</v>
      </c>
      <c r="B320" s="108" t="str">
        <f>IF(FN_MC!X319="","*",FN_MC!X319)</f>
        <v>Oportunidade</v>
      </c>
      <c r="C320" s="108" t="str">
        <f>IF(FN_MC!Z319="","*",FN_MC!Z319)</f>
        <v>*</v>
      </c>
      <c r="D320" s="109" t="str">
        <f>IF(FN_MC!S319="","*",FN_MC!S319)</f>
        <v>MALHA CENTRAL</v>
      </c>
      <c r="E320" s="109" t="str">
        <f>IF(FN_MC!T319="","*",FN_MC!T319)</f>
        <v>RAMAL</v>
      </c>
      <c r="F320" s="109">
        <f>IF(FN_MC!B319="","*",FN_MC!B319)</f>
        <v>46037</v>
      </c>
      <c r="G320" s="109" t="str">
        <f>IF(FN_MC!D319="","*",FN_MC!D319)</f>
        <v>A88</v>
      </c>
      <c r="H320" s="109" t="str">
        <f>IF(FN_MC!F319="","*",FN_MC!F319)</f>
        <v>INSPEÇÃO AUTO DE LINHA</v>
      </c>
      <c r="I320" s="109" t="str">
        <f>IF(FN_MC!H319="","*",FN_MC!H319)</f>
        <v>ZFH2</v>
      </c>
      <c r="J320" s="109" t="str">
        <f>IF(FN_MC!I319="","*",FN_MC!I319)</f>
        <v>ZTR</v>
      </c>
      <c r="K320" s="109" t="str">
        <f>IF(FN_MC!M319="","*",FN_MC!M319)</f>
        <v>ZQY-ZFH</v>
      </c>
      <c r="L320" s="328" t="str">
        <f>IF(FN_MC!N319="","*",FN_MC!N319)</f>
        <v>ZQYZFH</v>
      </c>
      <c r="M320" s="110">
        <f>IF(FN_MC!J319="","*",FN_MC!J319)</f>
        <v>78</v>
      </c>
      <c r="N320" s="291">
        <f>IF(FN_MC!K319="","*",FN_MC!K319)</f>
        <v>189.45</v>
      </c>
      <c r="O320" s="291" t="str">
        <f>IF(FN_MC!L319="","*",FN_MC!L319)</f>
        <v>-</v>
      </c>
      <c r="P320" s="110"/>
      <c r="Q320" s="127">
        <f>IF(FN_MC!O319="","*",FN_MC!O319)</f>
        <v>0.375</v>
      </c>
      <c r="R320" s="127">
        <f>IF(FN_MC!P319="","*",FN_MC!P319)</f>
        <v>4.1666666666666664E-2</v>
      </c>
      <c r="S320" s="109" t="str">
        <f>IF(FN_MC!Q319="","*",CONCATENATE(FN_MC!Q319," ",FN_MC!R319))</f>
        <v>1 BINÁRIO</v>
      </c>
      <c r="T320" s="109" t="str">
        <f>IF(FN_MC!V319="","*",FN_MC!V319)</f>
        <v>Paulo</v>
      </c>
      <c r="U320" s="109" t="str">
        <f>IF(FN_MC!W319="","*",FN_MC!W319)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OPORTUNIDADE</v>
      </c>
      <c r="B323" s="108" t="str">
        <f>IF(FN_MC!X322="","*",FN_MC!X322)</f>
        <v>Oportunidade</v>
      </c>
      <c r="C323" s="108" t="str">
        <f>IF(FN_MC!Z322="","*",FN_MC!Z322)</f>
        <v>*</v>
      </c>
      <c r="D323" s="109" t="str">
        <f>IF(FN_MC!S322="","*",FN_MC!S322)</f>
        <v>MALHA CENTRAL</v>
      </c>
      <c r="E323" s="109" t="str">
        <f>IF(FN_MC!T322="","*",FN_MC!T322)</f>
        <v>RAMAL</v>
      </c>
      <c r="F323" s="109">
        <f>IF(FN_MC!B322="","*",FN_MC!B322)</f>
        <v>46037</v>
      </c>
      <c r="G323" s="109" t="str">
        <f>IF(FN_MC!D322="","*",FN_MC!D322)</f>
        <v>E48</v>
      </c>
      <c r="H323" s="109" t="str">
        <f>IF(FN_MC!F322="","*",FN_MC!F322)</f>
        <v>DESLOCAMENTO</v>
      </c>
      <c r="I323" s="109" t="str">
        <f>IF(FN_MC!H322="","*",FN_MC!H322)</f>
        <v>ZTP</v>
      </c>
      <c r="J323" s="109" t="str">
        <f>IF(FN_MC!I322="","*",FN_MC!I322)</f>
        <v>ZPG</v>
      </c>
      <c r="K323" s="109" t="str">
        <f>IF(FN_MC!M322="","*",FN_MC!M322)</f>
        <v>ZTP-ZPG</v>
      </c>
      <c r="L323" s="328" t="str">
        <f>IF(FN_MC!N322="","*",FN_MC!N322)</f>
        <v>ZTP-ZPG</v>
      </c>
      <c r="M323" s="110">
        <f>IF(FN_MC!J322="","*",FN_MC!J322)</f>
        <v>78</v>
      </c>
      <c r="N323" s="291">
        <f>IF(FN_MC!K322="","*",FN_MC!K322)</f>
        <v>334</v>
      </c>
      <c r="O323" s="291" t="str">
        <f>IF(FN_MC!L322="","*",FN_MC!L322)</f>
        <v>-</v>
      </c>
      <c r="P323" s="110"/>
      <c r="Q323" s="127">
        <f>IF(FN_MC!O322="","*",FN_MC!O322)</f>
        <v>0.45833333333333331</v>
      </c>
      <c r="R323" s="127">
        <f>IF(FN_MC!P322="","*",FN_MC!P322)</f>
        <v>4.1666666666666664E-2</v>
      </c>
      <c r="S323" s="109" t="str">
        <f>IF(FN_MC!Q322="","*",CONCATENATE(FN_MC!Q322," ",FN_MC!R322))</f>
        <v>1 BINÁRIO</v>
      </c>
      <c r="T323" s="109" t="str">
        <f>IF(FN_MC!V322="","*",FN_MC!V322)</f>
        <v>PCM</v>
      </c>
      <c r="U323" s="109" t="str">
        <f>IF(FN_MC!W322="","*",FN_MC!W322)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MALHA CENTRAL</v>
      </c>
      <c r="E326" s="109" t="str">
        <f>IF(FN_MC!T325="","*",FN_MC!T325)</f>
        <v>RAMAL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ZBO-ZEP</v>
      </c>
      <c r="L326" s="328" t="str">
        <f>IF(FN_MC!N325="","*",FN_MC!N325)</f>
        <v>ZBOZEP</v>
      </c>
      <c r="M326" s="110">
        <f>IF(FN_MC!J325="","*",FN_MC!J325)</f>
        <v>78</v>
      </c>
      <c r="N326" s="291">
        <f>IF(FN_MC!K325="","*",FN_MC!K325)</f>
        <v>208.5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1586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8" t="s">
        <v>1587</v>
      </c>
      <c r="C2" s="388"/>
      <c r="D2" s="388"/>
      <c r="E2" s="388"/>
      <c r="F2" s="388"/>
      <c r="G2" s="388"/>
      <c r="H2" s="187"/>
    </row>
    <row r="3" spans="1:8">
      <c r="A3" s="187"/>
      <c r="B3" s="389"/>
      <c r="C3" s="389"/>
      <c r="D3" s="389"/>
      <c r="E3" s="389"/>
      <c r="F3" s="389"/>
      <c r="G3" s="389"/>
      <c r="H3" s="187"/>
    </row>
    <row r="4" spans="1:8" ht="40.5">
      <c r="A4" s="187"/>
      <c r="B4" s="321" t="s">
        <v>1588</v>
      </c>
      <c r="C4" s="321" t="s">
        <v>1589</v>
      </c>
      <c r="D4" s="321" t="s">
        <v>1590</v>
      </c>
      <c r="E4" s="321" t="s">
        <v>1591</v>
      </c>
      <c r="F4" s="321" t="s">
        <v>545</v>
      </c>
      <c r="G4" s="321" t="s">
        <v>1592</v>
      </c>
      <c r="H4" s="187"/>
    </row>
    <row r="5" spans="1:8" ht="43.5">
      <c r="A5" s="187"/>
      <c r="B5" s="322" t="s">
        <v>1593</v>
      </c>
      <c r="C5" s="322">
        <v>309525</v>
      </c>
      <c r="D5" s="322" t="s">
        <v>1594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1595</v>
      </c>
      <c r="C6" s="322">
        <v>256875</v>
      </c>
      <c r="D6" s="322" t="s">
        <v>1596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1597</v>
      </c>
      <c r="C7" s="322">
        <v>257278</v>
      </c>
      <c r="D7" s="322" t="s">
        <v>1598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1599</v>
      </c>
      <c r="C8" s="322">
        <v>261794</v>
      </c>
      <c r="D8" s="322" t="s">
        <v>1600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1601</v>
      </c>
      <c r="C9" s="322">
        <v>257033</v>
      </c>
      <c r="D9" s="322" t="s">
        <v>1602</v>
      </c>
      <c r="E9" s="322" t="s">
        <v>240</v>
      </c>
      <c r="F9" s="322" t="s">
        <v>732</v>
      </c>
      <c r="G9" s="322" t="s">
        <v>1603</v>
      </c>
      <c r="H9" s="187"/>
    </row>
    <row r="10" spans="1:8" ht="43.5">
      <c r="A10" s="187"/>
      <c r="B10" s="322" t="s">
        <v>1604</v>
      </c>
      <c r="C10" s="322">
        <v>396578</v>
      </c>
      <c r="D10" s="322" t="s">
        <v>1605</v>
      </c>
      <c r="E10" s="322" t="s">
        <v>240</v>
      </c>
      <c r="F10" s="322" t="s">
        <v>732</v>
      </c>
      <c r="G10" s="322" t="s">
        <v>1603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1606</v>
      </c>
      <c r="C2" s="95" t="s">
        <v>1162</v>
      </c>
      <c r="D2" s="95" t="s">
        <v>1164</v>
      </c>
      <c r="E2" s="95" t="s">
        <v>1607</v>
      </c>
      <c r="F2" s="95" t="s">
        <v>1608</v>
      </c>
      <c r="G2" s="95" t="s">
        <v>1609</v>
      </c>
      <c r="H2" s="95" t="s">
        <v>1610</v>
      </c>
      <c r="I2" s="95" t="s">
        <v>1611</v>
      </c>
      <c r="J2" s="95" t="s">
        <v>1612</v>
      </c>
      <c r="K2" s="130" t="s">
        <v>1613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 t="str">
        <f>IF(FN_MC!B267="","*",FN_MC!B267)</f>
        <v>*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E14</v>
      </c>
      <c r="E294" s="120" t="str">
        <f>IF(FN_MC!H288="","*",FN_MC!H288)</f>
        <v>PUD</v>
      </c>
      <c r="F294" s="136" t="str">
        <f>IF(FN_MC!M288="","*",FN_MC!M288)</f>
        <v>PUD-K57</v>
      </c>
      <c r="G294" s="120" t="str">
        <f>IF(FN_MC!I288="","*",FN_MC!I288)</f>
        <v>PSS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OPORTUNIDADE</v>
      </c>
      <c r="C297" s="120" t="str">
        <f>IF(FN_MC!B291="","*",FN_MC!B291)</f>
        <v>*</v>
      </c>
      <c r="D297" s="120" t="str">
        <f>IF(FN_MC!D291="","*",FN_MC!D291)</f>
        <v>E48</v>
      </c>
      <c r="E297" s="120" t="str">
        <f>IF(FN_MC!H291="","*",FN_MC!H291)</f>
        <v>ZTP</v>
      </c>
      <c r="F297" s="136" t="str">
        <f>IF(FN_MC!M291="","*",FN_MC!M291)</f>
        <v>ZTP-ZPG</v>
      </c>
      <c r="G297" s="120" t="str">
        <f>IF(FN_MC!I291="","*",FN_MC!I291)</f>
        <v>ZPG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SIM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FIXO</v>
      </c>
      <c r="I301" s="120" t="str">
        <f>IF(FN_MC!AC295="","*",FN_MC!AC295)</f>
        <v>*</v>
      </c>
      <c r="J301" s="121">
        <f>IF(FN_MC!AA295="","*",FN_MC!AA295)</f>
        <v>1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ESCALA</v>
      </c>
      <c r="I304" s="120" t="str">
        <f>IF(FN_MC!AC298="","*",FN_MC!AC298)</f>
        <v>*</v>
      </c>
      <c r="J304" s="121">
        <f>IF(FN_MC!AA298="","*",FN_MC!AA298)</f>
        <v>2</v>
      </c>
      <c r="K304" s="133">
        <f>IF(FN_MC!AD298="","*",FN_MC!AD298)</f>
        <v>0.29166666666666669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SIM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TGR/TIQ2</v>
      </c>
      <c r="F307" s="136" t="str">
        <f>IF(FN_MC!M301="","*",FN_MC!M301)</f>
        <v>TAL-TSF</v>
      </c>
      <c r="G307" s="120" t="str">
        <f>IF(FN_MC!I301="","*",FN_MC!I301)</f>
        <v>TRO</v>
      </c>
      <c r="H307" s="120" t="str">
        <f>IF(FN_MC!AB301="","*",FN_MC!AB301)</f>
        <v>FIXO</v>
      </c>
      <c r="I307" s="120" t="str">
        <f>IF(FN_MC!AC301="","*",FN_MC!AC301)</f>
        <v>*</v>
      </c>
      <c r="J307" s="121" t="str">
        <f>IF(FN_MC!AA301="","*",FN_MC!AA301)</f>
        <v>2 (Enio e Daniel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OPORTUNIDADE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TGR-TAL</v>
      </c>
      <c r="G309" s="120" t="str">
        <f>IF(FN_MC!I303="","*",FN_MC!I303)</f>
        <v>TAL</v>
      </c>
      <c r="H309" s="120" t="str">
        <f>IF(FN_MC!AB303="","*",FN_MC!AB303)</f>
        <v>FIXO</v>
      </c>
      <c r="I309" s="120" t="str">
        <f>IF(FN_MC!AC303="","*",FN_MC!AC303)</f>
        <v>*</v>
      </c>
      <c r="J309" s="121">
        <f>IF(FN_MC!AA303="","*",FN_MC!AA303)</f>
        <v>1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OPORTUNIDADE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OPORTUNIDADE</v>
      </c>
      <c r="C315" s="120">
        <f>IF(FN_MC!B309="","*",FN_MC!B309)</f>
        <v>46037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FIXO</v>
      </c>
      <c r="I315" s="120" t="str">
        <f>IF(FN_MC!AC309="","*",FN_MC!AC309)</f>
        <v>*</v>
      </c>
      <c r="J315" s="121">
        <f>IF(FN_MC!AA309="","*",FN_MC!AA309)</f>
        <v>1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OPORTUNIDADE</v>
      </c>
      <c r="C318" s="120">
        <f>IF(FN_MC!B312="","*",FN_MC!B312)</f>
        <v>46037</v>
      </c>
      <c r="D318" s="120" t="str">
        <f>IF(FN_MC!D312="","*",FN_MC!D312)</f>
        <v>MARCOS (TF-520)</v>
      </c>
      <c r="E318" s="120" t="str">
        <f>IF(FN_MC!H312="","*",FN_MC!H312)</f>
        <v>K73TSP</v>
      </c>
      <c r="F318" s="136" t="str">
        <f>IF(FN_MC!M312="","*",FN_MC!M312)</f>
        <v>TQI-TSP</v>
      </c>
      <c r="G318" s="120" t="str">
        <f>IF(FN_MC!I312="","*",FN_MC!I312)</f>
        <v>-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OPORTUNIDADE</v>
      </c>
      <c r="C325" s="120">
        <f>IF(FN_MC!B319="","*",FN_MC!B319)</f>
        <v>46037</v>
      </c>
      <c r="D325" s="120" t="str">
        <f>IF(FN_MC!D319="","*",FN_MC!D319)</f>
        <v>A88</v>
      </c>
      <c r="E325" s="120" t="str">
        <f>IF(FN_MC!H319="","*",FN_MC!H319)</f>
        <v>ZFH2</v>
      </c>
      <c r="F325" s="136" t="str">
        <f>IF(FN_MC!M319="","*",FN_MC!M319)</f>
        <v>ZQY-ZFH</v>
      </c>
      <c r="G325" s="120" t="str">
        <f>IF(FN_MC!I319="","*",FN_MC!I319)</f>
        <v>ZTR</v>
      </c>
      <c r="H325" s="120" t="str">
        <f>IF(FN_MC!AB319="","*",FN_MC!AB319)</f>
        <v>FIXO</v>
      </c>
      <c r="I325" s="120" t="str">
        <f>IF(FN_MC!AC319="","*",FN_MC!AC319)</f>
        <v>*</v>
      </c>
      <c r="J325" s="121">
        <f>IF(FN_MC!AA319="","*",FN_MC!AA319)</f>
        <v>1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OPORTUNIDADE</v>
      </c>
      <c r="C328" s="120">
        <f>IF(FN_MC!B322="","*",FN_MC!B322)</f>
        <v>46037</v>
      </c>
      <c r="D328" s="120" t="str">
        <f>IF(FN_MC!D322="","*",FN_MC!D322)</f>
        <v>E48</v>
      </c>
      <c r="E328" s="120" t="str">
        <f>IF(FN_MC!H322="","*",FN_MC!H322)</f>
        <v>ZTP</v>
      </c>
      <c r="F328" s="136" t="str">
        <f>IF(FN_MC!M322="","*",FN_MC!M322)</f>
        <v>ZTP-ZPG</v>
      </c>
      <c r="G328" s="120" t="str">
        <f>IF(FN_MC!I322="","*",FN_MC!I322)</f>
        <v>ZPG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1 (Edson)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ZBO-ZEP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0" t="s">
        <v>1614</v>
      </c>
      <c r="D5" s="391"/>
      <c r="E5" s="391"/>
      <c r="F5" s="391"/>
      <c r="G5" s="391"/>
      <c r="H5" s="391"/>
      <c r="I5" s="391"/>
      <c r="J5" s="392"/>
      <c r="K5" s="393" t="s">
        <v>1615</v>
      </c>
      <c r="L5" s="394"/>
      <c r="M5" s="394"/>
      <c r="N5" s="394"/>
      <c r="O5" s="395" t="s">
        <v>1616</v>
      </c>
      <c r="P5" s="396"/>
      <c r="Q5" s="397"/>
    </row>
    <row r="6" spans="1:17" s="93" customFormat="1" ht="15.75" customHeight="1">
      <c r="A6" s="87" t="s">
        <v>1584</v>
      </c>
      <c r="B6" s="94" t="s">
        <v>1583</v>
      </c>
      <c r="C6" s="95" t="s">
        <v>1177</v>
      </c>
      <c r="D6" s="96" t="s">
        <v>1178</v>
      </c>
      <c r="E6" s="95" t="s">
        <v>1617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1618</v>
      </c>
      <c r="M6" s="138" t="s">
        <v>30</v>
      </c>
      <c r="N6" s="139" t="s">
        <v>1172</v>
      </c>
      <c r="O6" s="241" t="s">
        <v>1215</v>
      </c>
      <c r="P6" s="152"/>
      <c r="Q6" s="188" t="s">
        <v>1619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2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4.1666666666666664E-2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2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2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até 13:58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Oportunidade</v>
      </c>
      <c r="C290" s="99" t="str">
        <f>IF(FN_MC!S288="","*",FN_MC!S288)</f>
        <v>MALHA CENTRAL</v>
      </c>
      <c r="D290" s="99" t="str">
        <f>IF(FN_MC!T288="","*",FN_MC!T288)</f>
        <v>PRV-POV</v>
      </c>
      <c r="E290" s="99" t="str">
        <f>IF(FN_MC!D288="","*",FN_MC!D288)</f>
        <v>E14</v>
      </c>
      <c r="F290" s="99" t="str">
        <f>IF(FN_MC!H288="","*",FN_MC!H288)</f>
        <v>PUD</v>
      </c>
      <c r="G290" s="99" t="str">
        <f>IF(FN_MC!M288="","*",FN_MC!M288)</f>
        <v>PUD-K57</v>
      </c>
      <c r="H290" s="149">
        <f>IF(FN_MC!K288="","*",FN_MC!K288)</f>
        <v>2075</v>
      </c>
      <c r="I290" s="131">
        <f>IF(FN_MC!O288="","*",FN_MC!O288)</f>
        <v>0.99930555555555556</v>
      </c>
      <c r="J290" s="131">
        <f>IF(FN_MC!P288="","*",FN_MC!P288)</f>
        <v>4.1666666666666664E-2</v>
      </c>
      <c r="K290" s="140" t="str">
        <f>IF(FN_MC!AK288="","*",FN_MC!AK288)</f>
        <v>PUD</v>
      </c>
      <c r="L290" s="140" t="str">
        <f>IF(FN_MC!AM288="","*",FN_MC!AM288)</f>
        <v>PUD-K57</v>
      </c>
      <c r="M290" s="140">
        <f>IF(FN_MC!AP288="","*",FN_MC!AP288)</f>
        <v>2075</v>
      </c>
      <c r="N290" s="140" t="str">
        <f>IF(FN_MC!AM288="","*",FN_MC!AM288)</f>
        <v>PUD-K57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Oportunidade</v>
      </c>
      <c r="C293" s="99" t="str">
        <f>IF(FN_MC!S291="","*",FN_MC!S291)</f>
        <v>MALHA CENTRAL</v>
      </c>
      <c r="D293" s="99" t="str">
        <f>IF(FN_MC!T291="","*",FN_MC!T291)</f>
        <v>RAMAL</v>
      </c>
      <c r="E293" s="99" t="str">
        <f>IF(FN_MC!D291="","*",FN_MC!D291)</f>
        <v>E48</v>
      </c>
      <c r="F293" s="99" t="str">
        <f>IF(FN_MC!H291="","*",FN_MC!H291)</f>
        <v>ZTP</v>
      </c>
      <c r="G293" s="99" t="str">
        <f>IF(FN_MC!M291="","*",FN_MC!M291)</f>
        <v>ZTP-ZPG</v>
      </c>
      <c r="H293" s="149">
        <f>IF(FN_MC!K291="","*",FN_MC!K291)</f>
        <v>334</v>
      </c>
      <c r="I293" s="131">
        <f>IF(FN_MC!O291="","*",FN_MC!O291)</f>
        <v>0.45833333333333331</v>
      </c>
      <c r="J293" s="131">
        <f>IF(FN_MC!P291="","*",FN_MC!P291)</f>
        <v>4.1666666666666664E-2</v>
      </c>
      <c r="K293" s="140" t="str">
        <f>IF(FN_MC!AK291="","*",FN_MC!AK291)</f>
        <v>ZTP</v>
      </c>
      <c r="L293" s="140" t="str">
        <f>IF(FN_MC!AM291="","*",FN_MC!AM291)</f>
        <v>ZTP-ZPG</v>
      </c>
      <c r="M293" s="140">
        <f>IF(FN_MC!AP291="","*",FN_MC!AP291)</f>
        <v>334</v>
      </c>
      <c r="N293" s="140" t="str">
        <f>IF(FN_MC!AM291="","*",FN_MC!AM291)</f>
        <v>ZTP-ZPG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Contrato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746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746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Contrato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TGR/TIQ2</v>
      </c>
      <c r="G303" s="99" t="str">
        <f>IF(FN_MC!M301="","*",FN_MC!M301)</f>
        <v>TAL-TSF</v>
      </c>
      <c r="H303" s="149">
        <f>IF(FN_MC!K301="","*",FN_MC!K301)</f>
        <v>718.3</v>
      </c>
      <c r="I303" s="131">
        <f>IF(FN_MC!O301="","*",FN_MC!O301)</f>
        <v>0.41666666666666669</v>
      </c>
      <c r="J303" s="131">
        <f>IF(FN_MC!P301="","*",FN_MC!P301)</f>
        <v>0.125</v>
      </c>
      <c r="K303" s="140" t="str">
        <f>IF(FN_MC!AK301="","*",FN_MC!AK301)</f>
        <v>TGR/TIQ2</v>
      </c>
      <c r="L303" s="140" t="str">
        <f>IF(FN_MC!AM301="","*",FN_MC!AM301)</f>
        <v>TAL-TSF</v>
      </c>
      <c r="M303" s="140">
        <f>IF(FN_MC!AP301="","*",FN_MC!AP301)</f>
        <v>718.3</v>
      </c>
      <c r="N303" s="140" t="str">
        <f>IF(FN_MC!AM301="","*",FN_MC!AM301)</f>
        <v>TAL-TSF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Oportunidade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TGR-TAL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TGR-TAL</v>
      </c>
      <c r="M305" s="140">
        <f>IF(FN_MC!AP303="","*",FN_MC!AP303)</f>
        <v>502</v>
      </c>
      <c r="N305" s="140" t="str">
        <f>IF(FN_MC!AM303="","*",FN_MC!AM303)</f>
        <v>TGR-TAL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Oportunidade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430.2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430.2</v>
      </c>
      <c r="N307" s="140" t="str">
        <f>IF(FN_MC!AM305="","*",FN_MC!AM305)</f>
        <v>TPC-TVL</v>
      </c>
      <c r="O307" s="169">
        <f>FN_MC!BH305</f>
        <v>1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>
        <f>IF(FN_MC!B309="","*",FN_MC!B309)</f>
        <v>46037</v>
      </c>
      <c r="B311" s="98" t="str">
        <f>IF(FN_MC!X309="","*",FN_MC!X309)</f>
        <v>Oportunidade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>
        <f>IF(FN_MC!B312="","*",FN_MC!B312)</f>
        <v>46037</v>
      </c>
      <c r="B314" s="98" t="str">
        <f>IF(FN_MC!X312="","*",FN_MC!X312)</f>
        <v>Oportunidade</v>
      </c>
      <c r="C314" s="99" t="str">
        <f>IF(FN_MC!S312="","*",FN_MC!S312)</f>
        <v>FERRONORTE</v>
      </c>
      <c r="D314" s="99" t="str">
        <f>IF(FN_MC!T312="","*",FN_MC!T312)</f>
        <v>TMI-TCS</v>
      </c>
      <c r="E314" s="99" t="str">
        <f>IF(FN_MC!D312="","*",FN_MC!D312)</f>
        <v>MARCOS (TF-520)</v>
      </c>
      <c r="F314" s="99" t="str">
        <f>IF(FN_MC!H312="","*",FN_MC!H312)</f>
        <v>K73TSP</v>
      </c>
      <c r="G314" s="99" t="str">
        <f>IF(FN_MC!M312="","*",FN_MC!M312)</f>
        <v>TQI-TSP</v>
      </c>
      <c r="H314" s="149">
        <f>IF(FN_MC!K312="","*",FN_MC!K312)</f>
        <v>80.3</v>
      </c>
      <c r="I314" s="131">
        <f>IF(FN_MC!O312="","*",FN_MC!O312)</f>
        <v>0.375</v>
      </c>
      <c r="J314" s="131">
        <f>IF(FN_MC!P312="","*",FN_MC!P312)</f>
        <v>8.3333333333333329E-2</v>
      </c>
      <c r="K314" s="140" t="str">
        <f>IF(FN_MC!AK312="","*",FN_MC!AK312)</f>
        <v>K73TSP</v>
      </c>
      <c r="L314" s="140" t="str">
        <f>IF(FN_MC!AM312="","*",FN_MC!AM312)</f>
        <v>TQI-TSP</v>
      </c>
      <c r="M314" s="140">
        <f>IF(FN_MC!AP312="","*",FN_MC!AP312)</f>
        <v>80.3</v>
      </c>
      <c r="N314" s="140" t="str">
        <f>IF(FN_MC!AM312="","*",FN_MC!AM312)</f>
        <v>TQI-TSP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>
        <f>IF(FN_MC!B319="","*",FN_MC!B319)</f>
        <v>46037</v>
      </c>
      <c r="B321" s="98" t="str">
        <f>IF(FN_MC!X319="","*",FN_MC!X319)</f>
        <v>Oportunidade</v>
      </c>
      <c r="C321" s="99" t="str">
        <f>IF(FN_MC!S319="","*",FN_MC!S319)</f>
        <v>MALHA CENTRAL</v>
      </c>
      <c r="D321" s="99" t="str">
        <f>IF(FN_MC!T319="","*",FN_MC!T319)</f>
        <v>RAMAL</v>
      </c>
      <c r="E321" s="99" t="str">
        <f>IF(FN_MC!D319="","*",FN_MC!D319)</f>
        <v>A88</v>
      </c>
      <c r="F321" s="99" t="str">
        <f>IF(FN_MC!H319="","*",FN_MC!H319)</f>
        <v>ZFH2</v>
      </c>
      <c r="G321" s="99" t="str">
        <f>IF(FN_MC!M319="","*",FN_MC!M319)</f>
        <v>ZQY-ZFH</v>
      </c>
      <c r="H321" s="149">
        <f>IF(FN_MC!K319="","*",FN_MC!K319)</f>
        <v>189.45</v>
      </c>
      <c r="I321" s="131">
        <f>IF(FN_MC!O319="","*",FN_MC!O319)</f>
        <v>0.375</v>
      </c>
      <c r="J321" s="131">
        <f>IF(FN_MC!P319="","*",FN_MC!P319)</f>
        <v>4.1666666666666664E-2</v>
      </c>
      <c r="K321" s="140" t="str">
        <f>IF(FN_MC!AK319="","*",FN_MC!AK319)</f>
        <v>ZFH2</v>
      </c>
      <c r="L321" s="140" t="str">
        <f>IF(FN_MC!AM319="","*",FN_MC!AM319)</f>
        <v>ZQY-ZFH</v>
      </c>
      <c r="M321" s="140">
        <f>IF(FN_MC!AP319="","*",FN_MC!AP319)</f>
        <v>189.45</v>
      </c>
      <c r="N321" s="140" t="str">
        <f>IF(FN_MC!AM319="","*",FN_MC!AM319)</f>
        <v>ZQY-ZFH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>
        <f>IF(FN_MC!B322="","*",FN_MC!B322)</f>
        <v>46037</v>
      </c>
      <c r="B324" s="98" t="str">
        <f>IF(FN_MC!X322="","*",FN_MC!X322)</f>
        <v>Oportunidade</v>
      </c>
      <c r="C324" s="99" t="str">
        <f>IF(FN_MC!S322="","*",FN_MC!S322)</f>
        <v>MALHA CENTRAL</v>
      </c>
      <c r="D324" s="99" t="str">
        <f>IF(FN_MC!T322="","*",FN_MC!T322)</f>
        <v>RAMAL</v>
      </c>
      <c r="E324" s="99" t="str">
        <f>IF(FN_MC!D322="","*",FN_MC!D322)</f>
        <v>E48</v>
      </c>
      <c r="F324" s="99" t="str">
        <f>IF(FN_MC!H322="","*",FN_MC!H322)</f>
        <v>ZTP</v>
      </c>
      <c r="G324" s="99" t="str">
        <f>IF(FN_MC!M322="","*",FN_MC!M322)</f>
        <v>ZTP-ZPG</v>
      </c>
      <c r="H324" s="149">
        <f>IF(FN_MC!K322="","*",FN_MC!K322)</f>
        <v>334</v>
      </c>
      <c r="I324" s="131">
        <f>IF(FN_MC!O322="","*",FN_MC!O322)</f>
        <v>0.45833333333333331</v>
      </c>
      <c r="J324" s="131">
        <f>IF(FN_MC!P322="","*",FN_MC!P322)</f>
        <v>4.1666666666666664E-2</v>
      </c>
      <c r="K324" s="140" t="str">
        <f>IF(FN_MC!AK322="","*",FN_MC!AK322)</f>
        <v>ZTP</v>
      </c>
      <c r="L324" s="140" t="str">
        <f>IF(FN_MC!AM322="","*",FN_MC!AM322)</f>
        <v>ZTP-ZPG</v>
      </c>
      <c r="M324" s="140">
        <f>IF(FN_MC!AP322="","*",FN_MC!AP322)</f>
        <v>334</v>
      </c>
      <c r="N324" s="140" t="str">
        <f>IF(FN_MC!AM322="","*",FN_MC!AM322)</f>
        <v>ZTP-ZPG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MALHA CENTRAL</v>
      </c>
      <c r="D327" s="99" t="str">
        <f>IF(FN_MC!T325="","*",FN_MC!T325)</f>
        <v>RAMAL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ZBO-ZEP</v>
      </c>
      <c r="H327" s="149">
        <f>IF(FN_MC!K325="","*",FN_MC!K325)</f>
        <v>208.5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ZBO-ZEP</v>
      </c>
      <c r="M327" s="140">
        <f>IF(FN_MC!AP325="","*",FN_MC!AP325)</f>
        <v>208.5</v>
      </c>
      <c r="N327" s="140" t="str">
        <f>IF(FN_MC!AM325="","*",FN_MC!AM325)</f>
        <v>ZBO-ZEP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1619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2026-01-15T12:09:25Z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