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19" documentId="8_{B6337239-1A00-434D-AAD0-422EA1FEB5AE}" xr6:coauthVersionLast="47" xr6:coauthVersionMax="47" xr10:uidLastSave="{BCBA48A5-0221-4897-AD71-1A9EA04E206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5" i="1" l="1" a="1"/>
  <c r="M345" i="1"/>
  <c r="N345" i="1" a="1"/>
  <c r="N345" i="1"/>
  <c r="M346" i="1" a="1"/>
  <c r="M346" i="1"/>
  <c r="N346" i="1" a="1"/>
  <c r="N346" i="1"/>
  <c r="M347" i="1" a="1"/>
  <c r="M347" i="1"/>
  <c r="N347" i="1" a="1"/>
  <c r="N347" i="1"/>
  <c r="M348" i="1" a="1"/>
  <c r="M348" i="1"/>
  <c r="N348" i="1" a="1"/>
  <c r="N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4" i="1" a="1"/>
  <c r="M354" i="1"/>
  <c r="N354" i="1" a="1"/>
  <c r="N354" i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1" i="1" a="1"/>
  <c r="M361" i="1"/>
  <c r="N361" i="1" a="1"/>
  <c r="N361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6" i="1" a="1"/>
  <c r="M366" i="1"/>
  <c r="N366" i="1" a="1"/>
  <c r="N366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<sst xmlns="http://schemas.openxmlformats.org/spreadsheetml/2006/main" count="6911" uniqueCount="1788">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</sst>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35" activePane="bottomRight" state="frozen"/>
      <selection pane="bottomRight" activeCell="B344" sqref="B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389</v>
      </c>
      <c r="BN316" s="14" t="s">
        <v>410</v>
      </c>
      <c r="BO316" s="160" t="s">
        <v>477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1720</v>
      </c>
      <c r="BK323" s="16" t="s">
        <v>1720</v>
      </c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1721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1722</v>
      </c>
      <c r="BK325" s="16" t="s">
        <v>1723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1724</v>
      </c>
      <c r="BK328" s="16" t="s">
        <v>1724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1725</v>
      </c>
      <c r="N330" s="199" t="s">
        <v>1726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1728</v>
      </c>
      <c r="BK330" s="16" t="s">
        <v>1728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1729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1730</v>
      </c>
      <c r="N331" s="199" t="s">
        <v>1731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1732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1733</v>
      </c>
      <c r="BK331" s="16" t="s">
        <v>1734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1735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1736</v>
      </c>
      <c r="BK332" s="16" t="s">
        <v>1736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1737</v>
      </c>
      <c r="BK334" s="16" t="s">
        <v>1737</v>
      </c>
      <c r="BL334" s="15"/>
      <c r="BM334" s="14" t="s">
        <v>394</v>
      </c>
      <c r="BN334" s="14" t="s">
        <v>424</v>
      </c>
      <c r="BO334" s="160" t="s">
        <v>528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1738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1739</v>
      </c>
      <c r="BK336" s="16" t="s">
        <v>1739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1740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V86</v>
      </c>
      <c r="B341" s="166"/>
      <c r="C341" s="8" t="str">
        <f>IF(BS_CONTROLE[[#This Row],[DATA]]="","",WEEKNUM(BS_CONTROLE[[#This Row],[DATA]]))</f>
        <v/>
      </c>
      <c r="D341" s="51" t="s">
        <v>215</v>
      </c>
      <c r="E341" s="314">
        <v>442</v>
      </c>
      <c r="F341" s="167"/>
      <c r="G341" s="9" t="e">
        <f>IF(D341="","*",VLOOKUP(F341,BS_ATIVIDADE[#All],3,FALSE))</f>
        <v>#N/A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e">
        <f>IF(D341="","*",VLOOKUP(AI341,BS_ATIVIDADE[#Data],3,FALSE))</f>
        <v>#N/A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W7046044</v>
      </c>
      <c r="B344" s="166">
        <v>46044</v>
      </c>
      <c r="C344" s="8">
        <f>IF(BS_CONTROLE[[#This Row],[DATA]]="","",WEEKNUM(BS_CONTROLE[[#This Row],[DATA]]))</f>
        <v>4</v>
      </c>
      <c r="D344" s="51" t="s">
        <v>249</v>
      </c>
      <c r="E344" s="314">
        <v>445</v>
      </c>
      <c r="F344" s="167"/>
      <c r="G344" s="9" t="e">
        <f>IF(D344="","*",VLOOKUP(F344,BS_ATIVIDADE[#All],3,FALSE))</f>
        <v>#N/A</v>
      </c>
      <c r="H344" s="168" t="s">
        <v>587</v>
      </c>
      <c r="I344" s="168" t="s">
        <v>1135</v>
      </c>
      <c r="J344" s="212">
        <v>98</v>
      </c>
      <c r="K344" s="212">
        <v>716</v>
      </c>
      <c r="L344" s="83">
        <v>714</v>
      </c>
      <c r="M344" s="199" t="s">
        <v>607</v>
      </c>
      <c r="N344" s="199" t="s">
        <v>609</v>
      </c>
      <c r="O344" s="168">
        <v>0.375</v>
      </c>
      <c r="P344" s="168">
        <v>0.125</v>
      </c>
      <c r="Q344" s="83">
        <v>28</v>
      </c>
      <c r="R344" s="10" t="s">
        <v>63</v>
      </c>
      <c r="S344" s="284" t="s">
        <v>552</v>
      </c>
      <c r="T344" s="284" t="s">
        <v>556</v>
      </c>
      <c r="U344" s="80" t="s">
        <v>555</v>
      </c>
      <c r="V344" s="193" t="s">
        <v>1337</v>
      </c>
      <c r="W344" s="168" t="s">
        <v>1708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e">
        <f>IF(D344="","*",VLOOKUP(AI344,BS_ATIVIDADE[#Data],3,FALSE))</f>
        <v>#N/A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TGR2</v>
      </c>
      <c r="AM344" s="279" t="str">
        <f>IF(BS_CONTROLE[[#This Row],[Entre - Estações]]=0, "-", BS_CONTROLE[[#This Row],[Entre - Estações]])</f>
        <v>TAL-TSF</v>
      </c>
      <c r="AN344" s="279" t="str">
        <f>IF(BS_CONTROLE[[#This Row],[SB]]=0, "-", BS_CONTROLE[[#This Row],[SB]])</f>
        <v>710TSF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716</v>
      </c>
      <c r="AQ344" s="281">
        <f>IF(BS_CONTROLE[[#This Row],[KM - Fim]]=0, "-", BS_CONTROLE[[#This Row],[KM - Fim]])</f>
        <v>714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Camila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</v>
      </c>
      <c r="B348" s="163"/>
      <c r="C348" s="8"/>
      <c r="D348" s="51" t="s">
        <v>300</v>
      </c>
      <c r="E348" s="315">
        <v>449</v>
      </c>
      <c r="F348" s="167"/>
      <c r="G348" s="9" t="e">
        <f>IF(D348="","*",VLOOKUP(F348,BS_ATIVIDADE[#All],3,FALSE))</f>
        <v>#N/A</v>
      </c>
      <c r="H348" s="142"/>
      <c r="I348" s="142"/>
      <c r="J348" s="37">
        <v>74</v>
      </c>
      <c r="K348" s="37">
        <v>300.89999999999998</v>
      </c>
      <c r="L348" s="83"/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e">
        <f>IF(D348="","*",VLOOKUP(AI348,BS_ATIVIDADE[#Data],3,FALSE))</f>
        <v>#N/A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1742</v>
      </c>
      <c r="E3" s="316" t="s">
        <v>1743</v>
      </c>
      <c r="F3" s="316" t="s">
        <v>1744</v>
      </c>
      <c r="G3" s="316" t="s">
        <v>1745</v>
      </c>
      <c r="H3" s="316" t="s">
        <v>1746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1749</v>
      </c>
      <c r="W1" s="397"/>
      <c r="X1" s="397"/>
      <c r="Y1" s="103"/>
    </row>
    <row r="2" spans="1:25" s="100" customFormat="1" ht="11.25" customHeight="1">
      <c r="A2" s="104" t="s">
        <v>1750</v>
      </c>
      <c r="B2" s="104" t="s">
        <v>1751</v>
      </c>
      <c r="C2" s="104" t="s">
        <v>7</v>
      </c>
      <c r="D2" s="105" t="s">
        <v>1177</v>
      </c>
      <c r="E2" s="105" t="s">
        <v>1178</v>
      </c>
      <c r="F2" s="105" t="s">
        <v>1752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1753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V86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>
        <f ca="1">_xlfn.XLOOKUP(G338&amp;$V$2,BS_CONTROLE[CHAVE],BS_CONTROLE[Quantidade_11],"-")</f>
        <v>1894</v>
      </c>
      <c r="W338" s="111">
        <f ca="1">_xlfn.XLOOKUP(G338&amp;$W$2,BS_CONTROLE[CHAVE],BS_CONTROLE[Quantidade_11],"-")</f>
        <v>1880</v>
      </c>
      <c r="X338" s="111">
        <f ca="1">_xlfn.XLOOKUP(G338&amp;$X$2,BS_CONTROLE[CHAVE],BS_CONTROLE[Quantidade_11],"-")</f>
        <v>2312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W70</v>
      </c>
      <c r="H341" s="109" t="str">
        <f>IF(FN_MC!F344="","*",FN_MC!F344)</f>
        <v>*</v>
      </c>
      <c r="I341" s="109" t="str">
        <f>IF(FN_MC!H344="","*",FN_MC!H344)</f>
        <v>TIQ</v>
      </c>
      <c r="J341" s="109" t="str">
        <f>IF(FN_MC!I344="","*",FN_MC!I344)</f>
        <v>TGR2</v>
      </c>
      <c r="K341" s="109" t="str">
        <f>IF(FN_MC!M344="","*",FN_MC!M344)</f>
        <v>TAL-TSF</v>
      </c>
      <c r="L341" s="328" t="str">
        <f>IF(FN_MC!N344="","*",FN_MC!N344)</f>
        <v>710TSF</v>
      </c>
      <c r="M341" s="110">
        <f>IF(FN_MC!J344="","*",FN_MC!J344)</f>
        <v>98</v>
      </c>
      <c r="N341" s="291">
        <f>IF(FN_MC!K344="","*",FN_MC!K344)</f>
        <v>716</v>
      </c>
      <c r="O341" s="291">
        <f>IF(FN_MC!L344="","*",FN_MC!L344)</f>
        <v>714</v>
      </c>
      <c r="P341" s="110"/>
      <c r="Q341" s="127">
        <f>IF(FN_MC!O344="","*",FN_MC!O344)</f>
        <v>0.375</v>
      </c>
      <c r="R341" s="127">
        <f>IF(FN_MC!P344="","*",FN_MC!P344)</f>
        <v>0.125</v>
      </c>
      <c r="S341" s="109" t="str">
        <f>IF(FN_MC!Q344="","*",CONCATENATE(FN_MC!Q344," ",FN_MC!R344))</f>
        <v>28 VAGÕES</v>
      </c>
      <c r="T341" s="109" t="str">
        <f>IF(FN_MC!V344="","*",FN_MC!V344)</f>
        <v>Camila</v>
      </c>
      <c r="U341" s="109" t="str">
        <f>IF(FN_MC!W344="","*",FN_MC!W344)</f>
        <v>Descarga de brita</v>
      </c>
      <c r="V341" s="111">
        <f ca="1">_xlfn.XLOOKUP(G341&amp;$V$2,BS_CONTROLE[CHAVE],BS_CONTROLE[Quantidade_11],"-")</f>
        <v>1</v>
      </c>
      <c r="W341" s="111">
        <f ca="1">_xlfn.XLOOKUP(G341&amp;$W$2,BS_CONTROLE[CHAVE],BS_CONTROLE[Quantidade_11],"-")</f>
        <v>1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 t="str">
        <f>IF(FN_MC!B348="","*",FN_MC!B348)</f>
        <v>*</v>
      </c>
      <c r="G345" s="109" t="str">
        <f>IF(FN_MC!D348="","*",FN_MC!D348)</f>
        <v>ELSON (TF-526)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TRC-THE</v>
      </c>
      <c r="L345" s="328" t="str">
        <f>IF(FN_MC!N348="","*",FN_MC!N348)</f>
        <v>294THE</v>
      </c>
      <c r="M345" s="110">
        <f>IF(FN_MC!J348="","*",FN_MC!J348)</f>
        <v>74</v>
      </c>
      <c r="N345" s="291">
        <f>IF(FN_MC!K348="","*",FN_MC!K348)</f>
        <v>300.89999999999998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Elton</v>
      </c>
      <c r="U345" s="109" t="str">
        <f>IF(FN_MC!W348="","*",FN_MC!W348)</f>
        <v>*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1754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1755</v>
      </c>
      <c r="C2" s="95" t="s">
        <v>1162</v>
      </c>
      <c r="D2" s="95" t="s">
        <v>1164</v>
      </c>
      <c r="E2" s="95" t="s">
        <v>1756</v>
      </c>
      <c r="F2" s="95" t="s">
        <v>1757</v>
      </c>
      <c r="G2" s="95" t="s">
        <v>1758</v>
      </c>
      <c r="H2" s="95" t="s">
        <v>1759</v>
      </c>
      <c r="I2" s="95" t="s">
        <v>1760</v>
      </c>
      <c r="J2" s="95" t="s">
        <v>1761</v>
      </c>
      <c r="K2" s="130" t="s">
        <v>1762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V86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W70</v>
      </c>
      <c r="E341" s="120" t="str">
        <f>IF(FN_MC!H344="","*",FN_MC!H344)</f>
        <v>TIQ</v>
      </c>
      <c r="F341" s="136" t="str">
        <f>IF(FN_MC!M344="","*",FN_MC!M344)</f>
        <v>TAL-TSF</v>
      </c>
      <c r="G341" s="120" t="str">
        <f>IF(FN_MC!I344="","*",FN_MC!I344)</f>
        <v>TGR2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ELSON (TF-526)</v>
      </c>
      <c r="E345" s="120" t="str">
        <f>IF(FN_MC!H348="","*",FN_MC!H348)</f>
        <v>*</v>
      </c>
      <c r="F345" s="136" t="str">
        <f>IF(FN_MC!M348="","*",FN_MC!M348)</f>
        <v>TRC-THE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ELSON (TF-526)</v>
      </c>
      <c r="E453" s="120" t="str">
        <f>IF(FN_MC!H348="","*",FN_MC!H348)</f>
        <v>*</v>
      </c>
      <c r="F453" s="136" t="str">
        <f>IF(FN_MC!M348="","*",FN_MC!M348)</f>
        <v>TRC-THE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1763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1764</v>
      </c>
      <c r="C4" s="321" t="s">
        <v>1765</v>
      </c>
      <c r="D4" s="321" t="s">
        <v>1766</v>
      </c>
      <c r="E4" s="321" t="s">
        <v>1767</v>
      </c>
      <c r="F4" s="321" t="s">
        <v>545</v>
      </c>
      <c r="G4" s="321" t="s">
        <v>1768</v>
      </c>
      <c r="H4" s="187"/>
    </row>
    <row r="5" spans="1:8" ht="43.5">
      <c r="A5" s="187"/>
      <c r="B5" s="322" t="s">
        <v>1769</v>
      </c>
      <c r="C5" s="322">
        <v>309525</v>
      </c>
      <c r="D5" s="322" t="s">
        <v>1770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1771</v>
      </c>
      <c r="C6" s="322">
        <v>256875</v>
      </c>
      <c r="D6" s="322" t="s">
        <v>1772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1773</v>
      </c>
      <c r="C7" s="322">
        <v>257278</v>
      </c>
      <c r="D7" s="322" t="s">
        <v>1774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1775</v>
      </c>
      <c r="C8" s="322">
        <v>261794</v>
      </c>
      <c r="D8" s="322" t="s">
        <v>1776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1777</v>
      </c>
      <c r="C9" s="322">
        <v>257033</v>
      </c>
      <c r="D9" s="322" t="s">
        <v>1778</v>
      </c>
      <c r="E9" s="322" t="s">
        <v>240</v>
      </c>
      <c r="F9" s="322" t="s">
        <v>732</v>
      </c>
      <c r="G9" s="322" t="s">
        <v>1779</v>
      </c>
      <c r="H9" s="187"/>
    </row>
    <row r="10" spans="1:8" ht="43.5">
      <c r="A10" s="187"/>
      <c r="B10" s="322" t="s">
        <v>1780</v>
      </c>
      <c r="C10" s="322">
        <v>396578</v>
      </c>
      <c r="D10" s="322" t="s">
        <v>1781</v>
      </c>
      <c r="E10" s="322" t="s">
        <v>240</v>
      </c>
      <c r="F10" s="322" t="s">
        <v>732</v>
      </c>
      <c r="G10" s="322" t="s">
        <v>1779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1782</v>
      </c>
      <c r="D5" s="401"/>
      <c r="E5" s="401"/>
      <c r="F5" s="401"/>
      <c r="G5" s="401"/>
      <c r="H5" s="401"/>
      <c r="I5" s="401"/>
      <c r="J5" s="402"/>
      <c r="K5" s="403" t="s">
        <v>1783</v>
      </c>
      <c r="L5" s="404"/>
      <c r="M5" s="404"/>
      <c r="N5" s="404"/>
      <c r="O5" s="405" t="s">
        <v>1784</v>
      </c>
      <c r="P5" s="406"/>
      <c r="Q5" s="407"/>
    </row>
    <row r="6" spans="1:17" s="93" customFormat="1" ht="15.75" customHeight="1">
      <c r="A6" s="87" t="s">
        <v>1752</v>
      </c>
      <c r="B6" s="94" t="s">
        <v>1751</v>
      </c>
      <c r="C6" s="95" t="s">
        <v>1177</v>
      </c>
      <c r="D6" s="96" t="s">
        <v>1178</v>
      </c>
      <c r="E6" s="95" t="s">
        <v>1785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1786</v>
      </c>
      <c r="M6" s="138" t="s">
        <v>30</v>
      </c>
      <c r="N6" s="139" t="s">
        <v>1172</v>
      </c>
      <c r="O6" s="241" t="s">
        <v>1215</v>
      </c>
      <c r="P6" s="152"/>
      <c r="Q6" s="188" t="s">
        <v>1787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Pronto as 09:40h - aguardando D71 para verificar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V86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W70</v>
      </c>
      <c r="F430" s="99" t="str">
        <f>IF(FN_MC!H344="","*",FN_MC!H344)</f>
        <v>TIQ</v>
      </c>
      <c r="G430" s="99" t="str">
        <f>IF(FN_MC!M344="","*",FN_MC!M344)</f>
        <v>TAL-TSF</v>
      </c>
      <c r="H430" s="149">
        <f>IF(FN_MC!K344="","*",FN_MC!K344)</f>
        <v>716</v>
      </c>
      <c r="I430" s="131">
        <f>IF(FN_MC!O344="","*",FN_MC!O344)</f>
        <v>0.375</v>
      </c>
      <c r="J430" s="131">
        <f>IF(FN_MC!P344="","*",FN_MC!P344)</f>
        <v>0.125</v>
      </c>
      <c r="K430" s="140" t="str">
        <f>IF(FN_MC!AK344="","*",FN_MC!AK344)</f>
        <v>TIQ</v>
      </c>
      <c r="L430" s="140" t="str">
        <f>IF(FN_MC!AM344="","*",FN_MC!AM344)</f>
        <v>TAL-TSF</v>
      </c>
      <c r="M430" s="140">
        <f>IF(FN_MC!AP344="","*",FN_MC!AP344)</f>
        <v>716</v>
      </c>
      <c r="N430" s="140" t="str">
        <f>IF(FN_MC!AM344="","*",FN_MC!AM344)</f>
        <v>TAL-TSF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*</v>
      </c>
      <c r="G434" s="99" t="str">
        <f>IF(FN_MC!M348="","*",FN_MC!M348)</f>
        <v>TRC-THE</v>
      </c>
      <c r="H434" s="149">
        <f>IF(FN_MC!K348="","*",FN_MC!K348)</f>
        <v>300.89999999999998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2026-01-21T16:06:28Z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