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92" documentId="8_{B6337239-1A00-434D-AAD0-422EA1FEB5AE}" xr6:coauthVersionLast="47" xr6:coauthVersionMax="47" xr10:uidLastSave="{E0E6B7F2-1FD1-480E-839F-1AB8DFE3990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9" i="1" l="1" a="1"/>
  <c r="N119" i="1"/>
  <c r="H118" i="1" a="1"/>
  <c r="H118" i="1"/>
  <c r="N118" i="1" a="1"/>
  <c r="N118" i="1"/>
  <c r="H122" i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L117" i="16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L118" i="16"/>
  <c r="R119" i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L129" i="16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6" i="1" l="1"/>
  <c r="AJ119" i="1"/>
  <c r="AJ122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<sst xmlns="http://schemas.openxmlformats.org/spreadsheetml/2006/main" count="5104" uniqueCount="1476">
  <si>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</si>
  <si>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</si>
  <si>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</si>
  <si>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</si>
  <si>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</si>
  <si>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</si>
  <si>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</si>
  <si>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</si>
  <si>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</si>
  <si>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</si>
  <si>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</si>
  <si>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</si>
  <si>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</si>
  <si>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</si>
  <si>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</si>
  <si>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</si>
  <si>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</si>
  <si>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</si>
  <si>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</si>
  <si>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</si>
  <si>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</si>
  <si>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</si>
  <si>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</si>
  <si>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</si>
  <si>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</si>
  <si>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</si>
  <si>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</si>
  <si>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</si>
  <si>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</si>
  <si>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</si>
  <si>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</si>
  <si>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</si>
  <si>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</si>
  <si>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</si>
  <si>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</si>
  <si>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</si>
  <si>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</si>
  <si>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</si>
  <si>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</si>
  <si>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</si>
  <si>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</si>
  <si>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</si>
  <si>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</si>
  <si>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</si>
  <si>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</si>
  <si>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</si>
  <si>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</si>
  <si>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</si>
  <si>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</si>
  <si>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</si>
  <si>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</si>
  <si>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</si>
  <si>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</si>
  <si>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</si>
  <si>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</si>
  <si>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</si>
  <si>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</si>
  <si>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</si>
  <si>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</si>
  <si>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</si>
  <si>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</si>
  <si>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</si>
  <si>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</si>
  <si>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</si>
  <si>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</si>
  <si>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</si>
  <si>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</si>
  <si>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</si>
  <si>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</si>
  <si>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</si>
  <si>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</si>
  <si>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</si>
  <si>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</si>
  <si>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</si>
  <si>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</si>
  <si>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</si>
  <si>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</si>
  <si>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</si>
  <si>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</si>
  <si>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</si>
  <si>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</si>
  <si>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</si>
  <si>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</si>
  <si>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</si>
  <si>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</si>
  <si>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</si>
  <si>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</si>
  <si>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</si>
  <si>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</si>
  <si>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</si>
  <si>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</si>
  <si>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</si>
  <si>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</si>
  <si>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</si>
  <si>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</si>
  <si>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</si>
  <si>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</si>
  <si>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</si>
  <si>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</si>
  <si>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</si>
  <si>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</si>
  <si>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</si>
  <si>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</si>
  <si>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</si>
  <si>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</si>
  <si>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</si>
  <si>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</si>
  <si>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</si>
  <si>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</si>
  <si>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</si>
  <si>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</si>
  <si>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</si>
  <si>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</si>
  <si>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</si>
  <si>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</si>
  <si>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</si>
  <si>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</si>
  <si>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</si>
  <si>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</si>
  <si>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</si>
  <si>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</si>
  <si>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</si>
  <si>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</si>
  <si>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</si>
  <si>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</si>
  <si>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</si>
  <si>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</si>
  <si>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</si>
  <si>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</si>
  <si>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</si>
  <si>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</si>
  <si>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</si>
  <si>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</si>
  <si>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</si>
  <si>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</si>
  <si>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</si>
  <si>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</si>
  <si>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</si>
  <si>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</si>
  <si>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</si>
  <si>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</si>
  <si>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</si>
  <si>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</si>
  <si>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</si>
  <si>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</si>
  <si>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</si>
  <si>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</si>
  <si>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</si>
  <si>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</si>
  <si>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</si>
  <si>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</si>
  <si>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</si>
  <si>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</si>
  <si>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</si>
  <si>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</si>
  <si>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</si>
  <si>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</si>
  <si>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</si>
  <si>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</si>
  <si>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</si>
  <si>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</si>
  <si>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</si>
  <si>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</si>
  <si>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</si>
  <si>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</si>
  <si>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</si>
  <si>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</si>
  <si>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</si>
  <si>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</si>
  <si>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</si>
  <si>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</si>
  <si>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</si>
  <si>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</si>
  <si>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</si>
  <si>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</si>
  <si>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</si>
  <si>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</si>
  <si>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</si>
  <si>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</si>
  <si>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</si>
  <si>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</si>
  <si>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</si>
  <si>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</si>
  <si>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</si>
  <si>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</si>
  <si>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</si>
  <si>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</si>
  <si>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</si>
  <si>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</si>
  <si>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</si>
  <si>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</si>
  <si>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</si>
  <si>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</si>
  <si>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</si>
  <si>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</si>
  <si>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</si>
  <si>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</si>
  <si>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</si>
  <si>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</si>
  <si>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</si>
  <si>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</si>
  <si>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</si>
  <si>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</si>
  <si>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</si>
  <si>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</si>
  <si>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</si>
  <si>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</si>
  <si>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</si>
  <si>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</si>
  <si>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</si>
  <si>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</si>
  <si>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</si>
  <si>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</si>
  <si>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</si>
  <si>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</si>
  <si>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</si>
  <si>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</si>
  <si>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</si>
  <si>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</si>
  <si>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</si>
  <si>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</si>
  <si>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</si>
  <si>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</si>
  <si>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</si>
  <si>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</si>
  <si>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</si>
  <si>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</si>
  <si>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</si>
  <si>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</si>
  <si>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</si>
  <si>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</si>
  <si>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</si>
  <si>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</si>
  <si>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</si>
  <si>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</si>
  <si>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</si>
  <si>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</si>
  <si>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</si>
  <si>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</si>
  <si>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</si>
  <si>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</si>
  <si>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</si>
  <si>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</si>
  <si>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</si>
  <si>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</si>
  <si>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</si>
  <si>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</si>
  <si>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</si>
  <si>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</si>
  <si>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</si>
  <si>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</si>
  <si>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</si>
  <si>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</si>
  <si>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</si>
  <si>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</si>
  <si>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</si>
  <si>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</si>
  <si>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</si>
  <si>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</si>
  <si>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</si>
  <si>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</si>
  <si>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</si>
  <si>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</si>
  <si>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</si>
  <si>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</si>
  <si>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</si>
  <si>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</si>
  <si>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</si>
  <si>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</si>
  <si>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</si>
  <si>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</si>
  <si>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</si>
  <si>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</si>
  <si>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</si>
  <si>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</si>
  <si>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</si>
  <si>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</si>
  <si>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</si>
  <si>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</si>
  <si>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</si>
  <si>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</si>
  <si>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</si>
  <si>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</si>
  <si>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</si>
  <si>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</si>
  <si>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</si>
  <si>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</si>
  <si>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</si>
  <si>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</si>
  <si>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</si>
  <si>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</si>
  <si>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</si>
  <si>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</si>
  <si>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</si>
  <si>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</si>
  <si>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</si>
  <si>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</si>
  <si>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</si>
  <si>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</si>
  <si>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</si>
  <si>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</si>
  <si>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</si>
  <si>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</si>
  <si>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</si>
  <si>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</si>
  <si>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</si>
  <si>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</si>
  <si>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</si>
  <si>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</si>
  <si>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</si>
  <si>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</si>
  <si>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</si>
  <si>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</si>
  <si>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</si>
  <si>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</si>
  <si>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</si>
  <si>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</si>
  <si>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</si>
  <si>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</si>
  <si>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</si>
  <si>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</si>
  <si>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</si>
  <si>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</si>
  <si>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</si>
  <si>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</si>
  <si>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</si>
  <si>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</si>
  <si>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</si>
  <si>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</si>
  <si>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</si>
  <si>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</si>
  <si>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</si>
  <si>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</si>
  <si>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</si>
  <si>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</si>
  <si>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</si>
  <si>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</si>
  <si>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</si>
  <si>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</si>
  <si>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</si>
  <si>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</si>
  <si>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</si>
  <si>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</si>
  <si>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</si>
  <si>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</si>
  <si>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</si>
  <si>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</si>
  <si>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</si>
  <si>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</si>
  <si>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</si>
  <si>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</si>
  <si>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</si>
  <si>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</si>
  <si>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</si>
  <si>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</si>
  <si>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</si>
  <si>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</si>
  <si>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</si>
  <si>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</si>
  <si>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</si>
  <si>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</si>
  <si>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</si>
  <si>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</si>
  <si>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</si>
  <si>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</si>
  <si>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</si>
  <si>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</si>
  <si>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</si>
  <si>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</si>
  <si>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</si>
  <si>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</si>
  <si>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</si>
  <si>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</si>
  <si>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</si>
  <si>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</si>
  <si>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</si>
  <si>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</si>
  <si>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</si>
  <si>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</si>
  <si>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</si>
  <si>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</si>
  <si>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</si>
  <si>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</si>
  <si>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</si>
  <si>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</si>
  <si>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</si>
  <si>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</si>
  <si>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</si>
  <si>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</si>
  <si>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</si>
  <si>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</si>
  <si>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</si>
  <si>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</si>
  <si>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</si>
  <si>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</si>
  <si>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</si>
  <si>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</si>
  <si>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</si>
  <si>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</si>
  <si>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</si>
  <si>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</si>
  <si>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</si>
  <si>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</si>
  <si>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</si>
  <si>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</si>
  <si>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</si>
  <si>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</si>
  <si>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</si>
  <si>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</si>
  <si>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</si>
  <si>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</si>
  <si>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</si>
  <si>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</si>
  <si>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</si>
  <si>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</si>
  <si>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</si>
  <si>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</si>
  <si>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</si>
  <si>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</si>
  <si>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</si>
  <si>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</si>
  <si>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</si>
  <si>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</si>
  <si>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</si>
  <si>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</si>
  <si>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</si>
  <si>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</si>
  <si>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</si>
  <si>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</si>
  <si>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</si>
  <si>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</si>
  <si>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</si>
  <si>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</si>
  <si>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</si>
  <si>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</si>
  <si>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</si>
  <si>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</si>
  <si>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</si>
  <si>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</si>
  <si>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</si>
  <si>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</si>
  <si>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</si>
  <si>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</si>
  <si>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</si>
  <si>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</si>
  <si>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</si>
  <si>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</si>
  <si>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</si>
  <si>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</si>
  <si>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</si>
  <si>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</si>
  <si>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</si>
  <si>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</si>
  <si>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</si>
  <si>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</si>
  <si>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</si>
  <si>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</si>
  <si>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</si>
  <si>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</si>
  <si>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</si>
  <si>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</si>
  <si>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</si>
  <si>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</si>
  <si>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</si>
  <si>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</si>
  <si>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</si>
  <si>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</si>
  <si>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</si>
  <si>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</si>
  <si>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</si>
  <si>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</si>
  <si>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</si>
  <si>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</si>
  <si>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</si>
  <si>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</si>
  <si>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</si>
  <si>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</si>
  <si>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</si>
  <si>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</si>
  <si>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</si>
  <si>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</si>
  <si>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</si>
  <si>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</si>
  <si>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</si>
  <si>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</si>
  <si>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</si>
  <si>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</si>
  <si>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</si>
  <si>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</si>
  <si>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</si>
  <si>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</si>
  <si>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</si>
  <si>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</si>
  <si>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</si>
  <si>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</si>
  <si>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</si>
  <si>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</si>
  <si>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</si>
  <si>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</si>
  <si>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</si>
  <si>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</si>
  <si>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</si>
  <si>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</si>
  <si>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</si>
  <si>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</si>
  <si>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</si>
  <si>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</si>
  <si>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</si>
  <si>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</si>
  <si>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</si>
  <si>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</si>
  <si>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</si>
  <si>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</si>
  <si>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</si>
  <si>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</si>
  <si>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</si>
  <si>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</si>
  <si>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</si>
  <si>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</si>
  <si>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</si>
  <si>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</si>
  <si>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</si>
  <si>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</si>
  <si>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</si>
  <si>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</si>
  <si>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</si>
  <si>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</si>
  <si>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</si>
  <si>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</si>
  <si>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</si>
  <si>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</si>
  <si>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</si>
  <si>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</si>
  <si>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</si>
  <si>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</si>
  <si>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</si>
  <si>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</si>
  <si>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</si>
  <si>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</si>
  <si>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</si>
  <si>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</si>
  <si>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</si>
  <si>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</si>
  <si>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</si>
  <si>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</si>
  <si>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</si>
  <si>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</si>
  <si>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</si>
  <si>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</si>
  <si>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</si>
  <si>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</si>
  <si>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</si>
  <si>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</si>
  <si>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</si>
  <si>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</si>
  <si>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</si>
  <si>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</si>
  <si>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</si>
  <si>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</si>
  <si>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</si>
  <si>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</si>
  <si>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</si>
  <si>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</si>
  <si>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</si>
  <si>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</si>
  <si>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</si>
  <si>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</si>
  <si>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</si>
  <si>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</si>
  <si>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</si>
  <si>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</si>
  <si>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</si>
  <si>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</si>
  <si>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</si>
  <si>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</si>
  <si>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</si>
  <si>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</si>
  <si>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</si>
  <si>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</si>
  <si>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</si>
  <si>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</si>
  <si>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</si>
  <si>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</si>
  <si>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</si>
  <si>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</si>
  <si>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</si>
  <si>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</si>
  <si>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</si>
  <si>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</si>
  <si>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</si>
  <si>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</si>
  <si>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</si>
  <si>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</si>
  <si>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</si>
  <si>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</si>
  <si>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</si>
  <si>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</si>
  <si>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</si>
  <si>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</si>
  <si>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</si>
  <si>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</si>
  <si>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</si>
  <si>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</si>
  <si>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</si>
  <si>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</si>
  <si>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</si>
  <si>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</si>
  <si>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</si>
  <si>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</si>
  <si>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</si>
  <si>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</si>
  <si>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</si>
  <si>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</si>
  <si>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</si>
  <si>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</si>
  <si>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</si>
  <si>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</si>
  <si>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</si>
  <si>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</si>
  <si>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</si>
  <si>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</si>
  <si>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</si>
  <si>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</si>
  <si>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</si>
  <si>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</si>
  <si>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</si>
  <si>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</si>
  <si>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</si>
  <si>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</si>
  <si>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</si>
  <si>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</si>
  <si>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</si>
  <si>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</si>
  <si>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</si>
  <si>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</si>
  <si>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</si>
  <si>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</si>
  <si>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</si>
  <si>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</si>
  <si>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</si>
  <si>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</si>
  <si>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</si>
  <si>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</si>
  <si>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</si>
  <si>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</si>
  <si>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</si>
  <si>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</si>
  <si>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</si>
  <si>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</si>
  <si>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</si>
  <si>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</si>
  <si>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</si>
  <si>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</si>
  <si>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</si>
  <si>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</si>
  <si>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</si>
  <si>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</si>
  <si>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</si>
  <si>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</si>
  <si>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</si>
  <si>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</si>
  <si>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</si>
  <si>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</si>
  <si>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</si>
  <si>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</si>
  <si>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</si>
  <si>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</si>
  <si>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</si>
  <si>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</si>
  <si>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</si>
  <si>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</si>
  <si>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</si>
  <si>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</si>
  <si>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</si>
  <si>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</si>
  <si>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</si>
  <si>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</si>
  <si>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</si>
  <si>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</si>
  <si>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</si>
  <si>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</si>
  <si>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</si>
  <si>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</si>
  <si>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</si>
  <si>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</si>
  <si>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</si>
  <si>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</si>
  <si>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</si>
  <si>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</si>
  <si>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</si>
  <si>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</si>
  <si>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</si>
  <si>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</si>
  <si>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</si>
  <si>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</si>
  <si>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</si>
  <si>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</si>
  <si>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</si>
  <si>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</si>
  <si>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</si>
  <si>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</si>
  <si>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</si>
  <si>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</si>
  <si>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</si>
  <si>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</si>
  <si>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</si>
  <si>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</si>
  <si>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</si>
  <si>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</si>
  <si>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</si>
  <si>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</si>
  <si>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</si>
  <si>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</si>
  <si>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</si>
  <si>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</si>
  <si>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</si>
  <si>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</si>
  <si>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</si>
  <si>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</si>
  <si>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</si>
  <si>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</si>
  <si>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</si>
  <si>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</si>
  <si>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</si>
  <si>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</si>
  <si>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</si>
  <si>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</si>
  <si>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</si>
  <si>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</si>
  <si>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</si>
  <si>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</si>
  <si>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</si>
  <si>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</si>
  <si>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</si>
  <si>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</si>
  <si>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</si>
  <si>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</si>
  <si>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</si>
  <si>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</si>
  <si>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</si>
  <si>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</si>
  <si>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</si>
  <si>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</si>
  <si>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</si>
  <si>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</si>
  <si>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</si>
  <si>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</si>
  <si>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</si>
  <si>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</si>
  <si>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</si>
  <si>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</si>
  <si>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</si>
  <si>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</si>
  <si>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</si>
  <si>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</si>
  <si>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</si>
  <si>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</si>
  <si>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</si>
  <si>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</si>
  <si>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</si>
  <si>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</si>
  <si>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</si>
  <si>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</si>
  <si>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</si>
  <si>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</si>
  <si>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</si>
  <si>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</si>
  <si>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</si>
  <si>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</si>
  <si>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</si>
  <si>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</si>
  <si>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</si>
  <si>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</si>
  <si>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</si>
  <si>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</si>
  <si>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</si>
  <si>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</si>
  <si>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</si>
  <si>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</si>
  <si>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</si>
  <si>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</si>
  <si>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</si>
  <si>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</si>
  <si>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</si>
  <si>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</si>
  <si>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</si>
  <si>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</si>
  <si>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</si>
  <si>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</si>
  <si>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</si>
  <si>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</si>
  <si>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</si>
  <si>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</si>
  <si>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</si>
  <si>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</si>
  <si>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</si>
  <si>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</si>
  <si>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</si>
  <si>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</si>
  <si>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</si>
  <si>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</si>
  <si>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</si>
  <si>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</si>
  <si>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</si>
  <si>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</si>
  <si>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</si>
  <si>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</si>
  <si>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</si>
  <si>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</si>
  <si>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</si>
  <si>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</si>
  <si>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</si>
  <si>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</si>
  <si>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</si>
  <si>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</si>
  <si>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</si>
  <si>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</si>
  <si>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</si>
  <si>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</si>
  <si>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</si>
  <si>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</si>
  <si>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</si>
  <si>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</si>
  <si>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</si>
  <si>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</si>
  <si>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</si>
  <si>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</si>
  <si>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</si>
  <si>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</si>
  <si>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</si>
  <si>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</si>
  <si>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</si>
  <si>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</si>
  <si>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</si>
  <si>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</si>
  <si>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</si>
  <si>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</si>
  <si>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</si>
  <si>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</si>
  <si>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</si>
  <si>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</si>
  <si>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</si>
  <si>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</si>
  <si>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</si>
  <si>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</si>
  <si>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</si>
  <si>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</si>
  <si>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</si>
  <si>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</si>
  <si>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</si>
  <si>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</si>
  <si>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</si>
  <si>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</si>
  <si>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</si>
  <si>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</si>
  <si>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</si>
  <si>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</si>
  <si>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</si>
  <si>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</si>
  <si>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</si>
  <si>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</si>
  <si>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</si>
  <si>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</si>
  <si>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</si>
  <si>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</si>
  <si>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</si>
  <si>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</si>
  <si>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</si>
  <si>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</si>
  <si>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</si>
  <si>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</si>
  <si>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</si>
  <si>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</si>
  <si>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</si>
  <si>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</si>
  <si>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</si>
  <si>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</si>
  <si>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</si>
  <si>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</si>
  <si>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</si>
  <si>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</si>
  <si>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</si>
  <si>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</si>
  <si>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</si>
  <si>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</si>
  <si>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</si>
  <si>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</si>
  <si>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</si>
  <si>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</si>
  <si>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</si>
  <si>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</si>
  <si>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</si>
  <si>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</si>
  <si>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</si>
  <si>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</si>
  <si>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</si>
  <si>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</si>
  <si>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</si>
  <si>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</si>
  <si>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</si>
  <si>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</si>
  <si>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</si>
  <si>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</si>
  <si>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</si>
  <si>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</si>
  <si>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</si>
  <si>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</si>
  <si>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</si>
  <si>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</si>
  <si>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</si>
  <si>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</si>
  <si>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</si>
  <si>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</si>
  <si>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</si>
  <si>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</si>
  <si>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</si>
  <si>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</si>
  <si>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</si>
  <si>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</si>
  <si>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</si>
  <si>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</si>
  <si>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</si>
  <si>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</si>
  <si>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</si>
  <si>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</si>
  <si>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</si>
  <si>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</si>
  <si>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</si>
  <si>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</si>
  <si>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</si>
  <si>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</si>
  <si>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</si>
  <si>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</si>
  <si>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</si>
  <si>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</si>
  <si>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</si>
  <si>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</si>
  <si>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</si>
  <si>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</si>
  <si>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</si>
  <si>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</si>
  <si>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</si>
  <si>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</si>
  <si>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</si>
  <si>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</si>
  <si>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</si>
  <si>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</si>
  <si>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</si>
  <si>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</si>
  <si>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</si>
  <si>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</si>
  <si>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</si>
  <si>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</si>
  <si>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</si>
  <si>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</si>
  <si>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</si>
  <si>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</si>
  <si>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</si>
  <si>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</si>
  <si>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</si>
  <si>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</si>
  <si>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</si>
  <si>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</si>
  <si>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</si>
  <si>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</si>
  <si>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</si>
  <si>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</si>
  <si>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</si>
  <si>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</si>
  <si>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</si>
  <si>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</si>
  <si>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</si>
  <si>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</si>
  <si>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</si>
  <si>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</si>
  <si>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</si>
  <si>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</si>
  <si>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</si>
  <si>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</si>
  <si>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</si>
  <si>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</si>
  <si>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</si>
  <si>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</si>
  <si>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</si>
  <si>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</si>
  <si>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</si>
  <si>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</si>
  <si>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</si>
  <si>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</si>
  <si>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</si>
  <si>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</si>
  <si>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</si>
  <si>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</si>
  <si>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</si>
  <si>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</si>
  <si>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</si>
  <si>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</si>
  <si>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</si>
  <si>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</si>
  <si>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</si>
  <si>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</si>
  <si>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</si>
  <si>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</si>
  <si>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</si>
  <si>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</si>
  <si>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</si>
  <si>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</si>
  <si>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</si>
  <si>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</si>
  <si>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</si>
  <si>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</si>
  <si>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</si>
  <si>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</si>
  <si>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</si>
  <si>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</si>
  <si>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</si>
  <si>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</si>
  <si>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</si>
  <si>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</si>
  <si>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</si>
  <si>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</si>
  <si>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</si>
  <si>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</si>
  <si>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</si>
  <si>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</si>
  <si>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</si>
  <si>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</si>
  <si>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</si>
  <si>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</si>
  <si>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</si>
  <si>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</si>
  <si>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</si>
  <si>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</si>
  <si>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</si>
  <si>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</si>
  <si>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</si>
  <si>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</si>
  <si>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</si>
  <si>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</si>
  <si>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</si>
  <si>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</si>
  <si>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</si>
  <si>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</si>
  <si>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</si>
  <si>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</si>
  <si>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</si>
  <si>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</si>
  <si>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</si>
  <si>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</si>
  <si>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</si>
  <si>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</si>
  <si>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</si>
  <si>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</si>
  <si>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</si>
  <si>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</si>
  <si>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</si>
  <si>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</si>
  <si>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</si>
  <si>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</si>
  <si>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</si>
  <si>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</si>
  <si>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</si>
  <si>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</si>
  <si>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</si>
  <si>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</si>
  <si>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</si>
  <si>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</si>
  <si>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</si>
  <si>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</si>
  <si>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</si>
  <si>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</si>
  <si>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</si>
  <si>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</si>
  <si>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</si>
  <si>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</si>
  <si>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</si>
  <si>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</si>
  <si>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</si>
  <si>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</si>
  <si>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</si>
  <si>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</si>
  <si>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</si>
  <si>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</si>
  <si>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</si>
  <si>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</si>
  <si>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</si>
  <si>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</si>
  <si>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</si>
  <si>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</si>
  <si>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</si>
  <si>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</si>
  <si>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</si>
  <si>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</si>
  <si>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</si>
  <si>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</si>
  <si>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</si>
  <si>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</si>
  <si>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</si>
  <si>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</si>
  <si>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</si>
  <si>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</si>
  <si>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</si>
  <si>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</si>
  <si>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</si>
  <si>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</si>
  <si>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</si>
  <si>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</si>
  <si>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</si>
  <si>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</si>
  <si>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</si>
  <si>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</si>
  <si>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</si>
  <si>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</si>
  <si>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</si>
  <si>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</si>
  <si>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</si>
  <si>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</si>
  <si>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</si>
  <si>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</si>
  <si>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</si>
  <si>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</si>
  <si>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</si>
  <si>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</si>
  <si>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</si>
  <si>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</si>
  <si>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</si>
  <si>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</si>
  <si>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</si>
  <si>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</si>
  <si>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</si>
  <si>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</si>
  <si>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</si>
  <si>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</si>
  <si>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</si>
  <si>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</si>
  <si>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</si>
  <si>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</si>
  <si>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</si>
  <si>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</si>
  <si>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</si>
  <si>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</si>
  <si>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</si>
  <si>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</si>
  <si>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</si>
  <si>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</si>
  <si>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</si>
  <si>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</si>
  <si>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</si>
  <si>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</si>
  <si>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</si>
  <si>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</si>
  <si>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</si>
  <si>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</si>
  <si>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</si>
  <si>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</si>
  <si>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</si>
  <si>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</si>
  <si>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</si>
  <si>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</si>
  <si>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</si>
  <si>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</si>
  <si>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</si>
  <si>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</si>
  <si>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</si>
  <si>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</si>
  <si>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</si>
  <si>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</si>
  <si>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</si>
  <si>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</si>
  <si>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</si>
  <si>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</si>
  <si>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</si>
  <si>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</si>
  <si>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</si>
  <si>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</si>
  <si>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</si>
  <si>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</si>
  <si>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</si>
  <si>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</si>
  <si>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</si>
  <si>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</si>
  <si>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</si>
  <si>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</si>
  <si>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</si>
  <si>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</si>
  <si>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</si>
  <si>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</si>
  <si>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</si>
  <si>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</si>
  <si>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</si>
  <si>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</si>
  <si>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</si>
  <si>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</si>
  <si>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</si>
  <si>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</si>
  <si>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</si>
  <si>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</si>
  <si>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</si>
  <si>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</si>
  <si>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</si>
  <si>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</si>
  <si>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</si>
  <si>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</si>
  <si>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</si>
  <si>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</si>
  <si>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</si>
  <si>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</si>
  <si>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</si>
  <si>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</si>
  <si>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</si>
  <si>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</si>
  <si>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</si>
  <si>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</si>
  <si>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</si>
  <si>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</si>
  <si>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</si>
  <si>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</si>
  <si>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</si>
  <si>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</si>
  <si>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</si>
  <si>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</si>
  <si>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</si>
  <si>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</si>
  <si>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</si>
  <si>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</si>
  <si>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</si>
  <si>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</si>
  <si>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</si>
  <si>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</si>
  <si>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</si>
  <si>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</si>
  <si>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</si>
  <si>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</si>
  <si>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</si>
  <si>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</si>
  <si>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</si>
  <si>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</si>
  <si>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</si>
  <si>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</si>
  <si>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</si>
  <si>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</si>
  <si>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</si>
  <si>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</si>
  <si>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</si>
  <si>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</si>
  <si>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</si>
  <si>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</si>
  <si>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</si>
  <si>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</si>
  <si>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</si>
  <si>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</si>
  <si>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</si>
  <si>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</si>
  <si>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</si>
  <si>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</si>
  <si>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</si>
  <si>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</si>
  <si>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</si>
  <si>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</si>
  <si>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</si>
  <si>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</si>
  <si>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</si>
  <si>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</si>
  <si>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</si>
  <si>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</si>
  <si>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</si>
  <si>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</si>
  <si>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</si>
  <si>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</si>
  <si>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</si>
  <si>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</si>
  <si>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</si>
  <si>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</si>
  <si>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</si>
  <si>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</si>
  <si>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</si>
  <si>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</si>
  <si>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</si>
  <si>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</si>
  <si>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</si>
  <si>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</si>
  <si>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</si>
  <si>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</si>
  <si>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</si>
  <si>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</si>
  <si>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</si>
  <si>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</si>
  <si>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</si>
  <si>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</si>
  <si>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</si>
  <si>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</si>
  <si>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</si>
  <si>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</si>
  <si>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</si>
  <si>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</si>
  <si>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</si>
  <si>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</si>
  <si>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</si>
  <si>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</si>
  <si>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</si>
  <si>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</si>
  <si>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</si>
  <si>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</si>
  <si>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</si>
  <si>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</si>
  <si>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</si>
  <si>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</si>
  <si>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</si>
  <si>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</si>
  <si>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</si>
  <si>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</si>
  <si>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</si>
  <si>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</si>
  <si>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</si>
  <si>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</si>
  <si>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</si>
  <si>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</si>
  <si>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</si>
  <si>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</si>
  <si>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</si>
  <si>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</si>
  <si>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</si>
  <si>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</si>
  <si>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</si>
  <si>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</si>
  <si>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</si>
  <si>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</si>
  <si>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</si>
  <si>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</si>
  <si>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</si>
  <si>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</si>
  <si>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</si>
  <si>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</si>
  <si>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</si>
  <si>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</si>
  <si>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</si>
  <si>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</si>
  <si>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</si>
  <si>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</si>
  <si>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</si>
  <si>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</si>
  <si>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</si>
  <si>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</si>
  <si>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</si>
  <si>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</si>
  <si>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</si>
  <si>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</si>
  <si>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</si>
  <si>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</si>
  <si>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</si>
  <si>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</si>
  <si>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</si>
  <si>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</si>
  <si>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</si>
  <si>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</si>
  <si>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</si>
  <si>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</si>
  <si>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</si>
  <si>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</si>
  <si>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</si>
  <si>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</si>
  <si>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</si>
  <si>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</si>
  <si>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</si>
  <si>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</si>
  <si>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</si>
  <si>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</si>
  <si>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</si>
  <si>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</si>
  <si>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</si>
  <si>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</si>
  <si>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</si>
  <si>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</si>
  <si>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</si>
  <si>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</si>
  <si>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</si>
  <si>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</si>
  <si>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</si>
  <si>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</si>
  <si>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</si>
  <si>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</si>
  <si>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</si>
  <si>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</si>
  <si>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</si>
  <si>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</si>
  <si>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</si>
  <si>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</si>
  <si>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</si>
  <si>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</si>
  <si>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</si>
  <si>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</si>
  <si>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</si>
  <si>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</si>
  <si>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</si>
  <si>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</si>
  <si>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</si>
  <si>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</si>
  <si>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</si>
  <si>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</si>
  <si>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</si>
  <si>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</si>
  <si>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</si>
  <si>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</si>
  <si>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</si>
  <si>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</si>
  <si>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</si>
  <si>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</si>
  <si>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</si>
  <si>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</si>
  <si>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</si>
  <si>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</si>
  <si>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</si>
  <si>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</si>
  <si>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</si>
  <si>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</si>
  <si>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</si>
  <si>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</si>
  <si>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</si>
  <si>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</si>
  <si>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</si>
  <si>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</si>
  <si>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</si>
  <si>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74/093761-094842cv  8 barras</t>
  </si>
  <si>
    <t>TCS-TOM</t>
  </si>
  <si>
    <t>TCSTOM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</si>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</sst>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111" activePane="topRight" state="frozen"/>
      <selection pane="topRight" activeCell="AW96" sqref="AW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1305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226">
        <v>242</v>
      </c>
      <c r="L115" s="71">
        <v>244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242</v>
      </c>
      <c r="AQ115" s="177">
        <f>IF(BS_CONTROLE[[#This Row],[KM - Fim]]=0, "-", BS_CONTROLE[[#This Row],[KM - Fim]])</f>
        <v>244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1421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0.45833333333333331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1418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250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1414</v>
      </c>
      <c r="W119" s="135" t="s">
        <v>1422</v>
      </c>
      <c r="X119" s="152" t="s">
        <v>378</v>
      </c>
      <c r="Y119" s="129"/>
      <c r="Z119" s="129"/>
      <c r="AA119" s="71">
        <v>2</v>
      </c>
      <c r="AB119" s="59" t="s">
        <v>375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1304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Camila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244</v>
      </c>
      <c r="L128" s="71">
        <v>246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244</v>
      </c>
      <c r="AQ128" s="177">
        <f>IF(BS_CONTROLE[[#This Row],[KM - Fim]]=0, "-", BS_CONTROLE[[#This Row],[KM - Fim]])</f>
        <v>246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>V8046089</v>
      </c>
      <c r="B130" s="133">
        <v>46089</v>
      </c>
      <c r="C130" s="7">
        <f>IF(BS_CONTROLE[[#This Row],[DATA]]="","",WEEKNUM(BS_CONTROLE[[#This Row],[DATA]]))</f>
        <v>11</v>
      </c>
      <c r="D130" s="45" t="s">
        <v>209</v>
      </c>
      <c r="E130" s="185">
        <v>123</v>
      </c>
      <c r="F130" s="134" t="s">
        <v>213</v>
      </c>
      <c r="G130" s="8" t="str">
        <f>IF(D130="","*",VLOOKUP(F130,BS_ATIVIDADE[#All],3,FALSE))</f>
        <v>OUTROS</v>
      </c>
      <c r="H130" s="135" t="s">
        <v>635</v>
      </c>
      <c r="I130" s="135" t="s">
        <v>682</v>
      </c>
      <c r="J130" s="151">
        <v>74</v>
      </c>
      <c r="K130" s="151">
        <v>291</v>
      </c>
      <c r="L130" s="71">
        <v>404</v>
      </c>
      <c r="M130" s="149" t="s">
        <v>1423</v>
      </c>
      <c r="N130" s="149" t="s">
        <v>1424</v>
      </c>
      <c r="O130" s="135">
        <v>0.45833333333333331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0" s="199" t="str">
        <f>IFERROR(_xlfn.XLOOKUP(J130, BASE_MAPA!$B$2:$B$408, BASE_MAPA!$G$2:$G$408), "ERRO")</f>
        <v>MARCO INICIAL - ALTO ARAGUAIA</v>
      </c>
      <c r="V130" s="143" t="s">
        <v>1238</v>
      </c>
      <c r="W130" s="135" t="s">
        <v>1418</v>
      </c>
      <c r="X130" s="152" t="s">
        <v>378</v>
      </c>
      <c r="Y130" s="129"/>
      <c r="Z130" s="129"/>
      <c r="AA130" s="71">
        <v>1</v>
      </c>
      <c r="AB130" s="59" t="s">
        <v>370</v>
      </c>
      <c r="AC130" s="59"/>
      <c r="AD130" s="135">
        <v>0.29166666666666669</v>
      </c>
      <c r="AE130" s="71">
        <v>7684</v>
      </c>
      <c r="AF130" s="71"/>
      <c r="AG130" s="71"/>
      <c r="AH130" s="42"/>
      <c r="AI130" s="119" t="str">
        <f>IF(BS_CONTROLE[[#This Row],[Atividade]]=0, "-", BS_CONTROLE[[#This Row],[Atividade]])</f>
        <v>INSPEÇÃO RIV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TCS2</v>
      </c>
      <c r="AL130" s="175" t="str">
        <f>IF(BS_CONTROLE[[#This Row],[Local - Encerramento]]=0, "-", BS_CONTROLE[[#This Row],[Local - Encerramento]])</f>
        <v>TOM</v>
      </c>
      <c r="AM130" s="175" t="str">
        <f>IF(BS_CONTROLE[[#This Row],[Entre - Estações]]=0, "-", BS_CONTROLE[[#This Row],[Entre - Estações]])</f>
        <v>TCS-TOM</v>
      </c>
      <c r="AN130" s="175" t="str">
        <f>IF(BS_CONTROLE[[#This Row],[SB]]=0, "-", BS_CONTROLE[[#This Row],[SB]])</f>
        <v>TCSTOM</v>
      </c>
      <c r="AO130" s="176">
        <f>IF(BS_CONTROLE[[#This Row],[SUB]]=0, "-", BS_CONTROLE[[#This Row],[SUB]])</f>
        <v>74</v>
      </c>
      <c r="AP130" s="177">
        <f>IF(BS_CONTROLE[[#This Row],[KM - Inicio]]=0, "-", BS_CONTROLE[[#This Row],[KM - Inicio]])</f>
        <v>291</v>
      </c>
      <c r="AQ130" s="177">
        <f>IF(BS_CONTROLE[[#This Row],[KM - Fim]]=0, "-", BS_CONTROLE[[#This Row],[KM - Fim]])</f>
        <v>404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0" s="200" t="str">
        <f>IFERROR(_xlfn.XLOOKUP(AO130, BASE_MAPA!$B$2:$B$408, BASE_MAPA!$G$2:$G$408), "ERRO")</f>
        <v>MARCO INICIAL - ALTO ARAGUAIA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Produção e Intervalo</v>
      </c>
      <c r="BR130" s="15">
        <f t="shared" si="10"/>
        <v>0</v>
      </c>
      <c r="BS130" s="15">
        <f t="shared" si="11"/>
        <v>0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1425</v>
      </c>
    </row>
  </sheetData>
  <protectedRanges>
    <protectedRange sqref="J6:K6 J25:K802" name="Range1_8_1"/>
    <protectedRange sqref="O6:Q6 O25:Q802" name="Range1_9_1"/>
    <protectedRange sqref="V6:Y6 W24 V25:Y82 V83 X83:Y83 V109 X109:Y109 V84:Y108 V110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1426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1427</v>
      </c>
      <c r="E3" s="186" t="s">
        <v>1428</v>
      </c>
      <c r="F3" s="186" t="s">
        <v>1429</v>
      </c>
      <c r="G3" s="186" t="s">
        <v>1430</v>
      </c>
      <c r="H3" s="186" t="s">
        <v>1431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1433</v>
      </c>
      <c r="D13" s="187">
        <v>9049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 t="s">
        <v>1433</v>
      </c>
      <c r="D14" s="187">
        <v>9044</v>
      </c>
      <c r="E14" s="188">
        <v>46044</v>
      </c>
      <c r="F14" s="190" t="s">
        <v>1436</v>
      </c>
      <c r="G14" s="187" t="s">
        <v>1437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1438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1438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1439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1440</v>
      </c>
      <c r="C4" s="191" t="s">
        <v>1441</v>
      </c>
      <c r="D4" s="191" t="s">
        <v>1442</v>
      </c>
      <c r="E4" s="191" t="s">
        <v>1443</v>
      </c>
      <c r="F4" s="191" t="s">
        <v>547</v>
      </c>
      <c r="G4" s="191" t="s">
        <v>1444</v>
      </c>
    </row>
    <row r="5" spans="2:7">
      <c r="B5" s="192" t="s">
        <v>1445</v>
      </c>
      <c r="C5" s="192">
        <v>309525</v>
      </c>
      <c r="D5" s="192" t="s">
        <v>1446</v>
      </c>
      <c r="E5" s="192" t="s">
        <v>249</v>
      </c>
      <c r="F5" s="192" t="s">
        <v>1447</v>
      </c>
      <c r="G5" s="193">
        <v>46296</v>
      </c>
    </row>
    <row r="6" spans="2:7">
      <c r="B6" s="192" t="s">
        <v>1448</v>
      </c>
      <c r="C6" s="192">
        <v>257410</v>
      </c>
      <c r="D6" s="192" t="s">
        <v>1449</v>
      </c>
      <c r="E6" s="192" t="s">
        <v>249</v>
      </c>
      <c r="F6" s="192" t="s">
        <v>1447</v>
      </c>
      <c r="G6" s="193"/>
    </row>
    <row r="7" spans="2:7">
      <c r="B7" s="192" t="s">
        <v>1259</v>
      </c>
      <c r="C7" s="192">
        <v>256875</v>
      </c>
      <c r="D7" s="192" t="s">
        <v>1450</v>
      </c>
      <c r="E7" s="192" t="s">
        <v>249</v>
      </c>
      <c r="F7" s="192" t="s">
        <v>1447</v>
      </c>
      <c r="G7" s="193">
        <v>46296</v>
      </c>
    </row>
    <row r="8" spans="2:7">
      <c r="B8" s="192" t="s">
        <v>1451</v>
      </c>
      <c r="C8" s="192">
        <v>257278</v>
      </c>
      <c r="D8" s="192" t="s">
        <v>1452</v>
      </c>
      <c r="E8" s="192" t="s">
        <v>240</v>
      </c>
      <c r="F8" s="192" t="s">
        <v>1453</v>
      </c>
      <c r="G8" s="193">
        <v>46235</v>
      </c>
    </row>
    <row r="9" spans="2:7">
      <c r="B9" s="192" t="s">
        <v>1454</v>
      </c>
      <c r="C9" s="192">
        <v>257033</v>
      </c>
      <c r="D9" s="192" t="s">
        <v>1455</v>
      </c>
      <c r="E9" s="192" t="s">
        <v>240</v>
      </c>
      <c r="F9" s="192" t="s">
        <v>564</v>
      </c>
      <c r="G9" s="192" t="s">
        <v>1456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1457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1458</v>
      </c>
      <c r="B2" s="91" t="s">
        <v>1459</v>
      </c>
      <c r="C2" s="91" t="s">
        <v>7</v>
      </c>
      <c r="D2" s="92" t="s">
        <v>1175</v>
      </c>
      <c r="E2" s="92" t="s">
        <v>547</v>
      </c>
      <c r="F2" s="92" t="s">
        <v>1460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1461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Inspeção - caminhão de linha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242</v>
      </c>
      <c r="O114" s="183">
        <f>IF(FN_MC!L115="","*",FN_MC!L115)</f>
        <v>244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0.45833333333333331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Camila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244</v>
      </c>
      <c r="O127" s="183">
        <f>IF(FN_MC!L128="","*",FN_MC!L128)</f>
        <v>246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Oportunidade</v>
      </c>
      <c r="C129" s="95" t="str">
        <f>IF(FN_MC!Z130="","*",FN_MC!Z130)</f>
        <v>*</v>
      </c>
      <c r="D129" s="96" t="str">
        <f>IF(FN_MC!S130="","*",FN_MC!S130)</f>
        <v>FERRONORTE</v>
      </c>
      <c r="E129" s="96" t="str">
        <f>IF(FN_MC!T130="","*",FN_MC!T130)</f>
        <v>TCS-TGR</v>
      </c>
      <c r="F129" s="96">
        <f>IF(FN_MC!B130="","*",FN_MC!B130)</f>
        <v>46089</v>
      </c>
      <c r="G129" s="96" t="str">
        <f>IF(FN_MC!D130="","*",FN_MC!D130)</f>
        <v>V80</v>
      </c>
      <c r="H129" s="96" t="str">
        <f>IF(FN_MC!F130="","*",FN_MC!F130)</f>
        <v>INSPEÇÃO RIV</v>
      </c>
      <c r="I129" s="96" t="str">
        <f>IF(FN_MC!H130="","*",FN_MC!H130)</f>
        <v>TCS2</v>
      </c>
      <c r="J129" s="96" t="str">
        <f>IF(FN_MC!I130="","*",FN_MC!I130)</f>
        <v>TOM</v>
      </c>
      <c r="K129" s="96" t="str">
        <f>IF(FN_MC!M130="","*",FN_MC!M130)</f>
        <v>TCS-TOM</v>
      </c>
      <c r="L129" s="196" t="str">
        <f>IF(FN_MC!N130="","*",FN_MC!N130)</f>
        <v>TCSTOM</v>
      </c>
      <c r="M129" s="97">
        <f>IF(FN_MC!J130="","*",FN_MC!J130)</f>
        <v>74</v>
      </c>
      <c r="N129" s="183">
        <f>IF(FN_MC!K130="","*",FN_MC!K130)</f>
        <v>291</v>
      </c>
      <c r="O129" s="183">
        <f>IF(FN_MC!L130="","*",FN_MC!L130)</f>
        <v>404</v>
      </c>
      <c r="P129" s="107">
        <f>IF(FN_MC!O130="","*",FN_MC!O130)</f>
        <v>0.45833333333333331</v>
      </c>
      <c r="Q129" s="107">
        <f>IF(FN_MC!P130="","*",FN_MC!P130)</f>
        <v>4.1666666666666664E-2</v>
      </c>
      <c r="R129" s="96" t="str">
        <f>IF(FN_MC!Q130="","*",CONCATENATE(FN_MC!Q130," ",FN_MC!R130))</f>
        <v>1 BINÁRIO</v>
      </c>
      <c r="S129" s="96" t="str">
        <f>IF(FN_MC!V130="","*",FN_MC!V130)</f>
        <v>Fernanda</v>
      </c>
      <c r="T129" s="96" t="str">
        <f>IF(FN_MC!W130="","*",FN_MC!W130)</f>
        <v>Inspeção RIV - vma 45 km/h - inspeção nos pátios a 30 km/h</v>
      </c>
      <c r="U129" s="98">
        <f ca="1">_xlfn.XLOOKUP(G129&amp;$U$2,BS_CONTROLE[CHAVE],BS_CONTROLE[Quantidade_11],"-")</f>
        <v>0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1462</v>
      </c>
      <c r="D5" s="243"/>
      <c r="E5" s="243"/>
      <c r="F5" s="243"/>
      <c r="G5" s="243"/>
      <c r="H5" s="243"/>
      <c r="I5" s="243"/>
      <c r="J5" s="244"/>
      <c r="K5" s="245" t="s">
        <v>1463</v>
      </c>
      <c r="L5" s="246"/>
      <c r="M5" s="246"/>
      <c r="N5" s="246"/>
      <c r="O5" s="247" t="s">
        <v>1464</v>
      </c>
      <c r="P5" s="248"/>
      <c r="Q5" s="249"/>
    </row>
    <row r="6" spans="1:17" s="81" customFormat="1" ht="15.75" customHeight="1">
      <c r="A6" s="75" t="s">
        <v>1460</v>
      </c>
      <c r="B6" s="82" t="s">
        <v>1459</v>
      </c>
      <c r="C6" s="83" t="s">
        <v>1175</v>
      </c>
      <c r="D6" s="84" t="s">
        <v>1176</v>
      </c>
      <c r="E6" s="83" t="s">
        <v>1465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1466</v>
      </c>
      <c r="M6" s="116" t="s">
        <v>29</v>
      </c>
      <c r="N6" s="117" t="s">
        <v>1170</v>
      </c>
      <c r="O6" s="165" t="s">
        <v>1213</v>
      </c>
      <c r="P6" s="128"/>
      <c r="Q6" s="139" t="s">
        <v>1467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242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242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0.45833333333333331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244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244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>
        <f>IF(FN_MC!B130="","*",FN_MC!B130)</f>
        <v>46089</v>
      </c>
      <c r="B129" s="86" t="str">
        <f>IF(FN_MC!X130="","*",FN_MC!X130)</f>
        <v>Oportunidade</v>
      </c>
      <c r="C129" s="87" t="str">
        <f>IF(FN_MC!S130="","*",FN_MC!S130)</f>
        <v>FERRONORTE</v>
      </c>
      <c r="D129" s="87" t="str">
        <f>IF(FN_MC!T130="","*",FN_MC!T130)</f>
        <v>TCS-TGR</v>
      </c>
      <c r="E129" s="87" t="str">
        <f>IF(FN_MC!D130="","*",FN_MC!D130)</f>
        <v>V80</v>
      </c>
      <c r="F129" s="87" t="str">
        <f>IF(FN_MC!H130="","*",FN_MC!H130)</f>
        <v>TCS2</v>
      </c>
      <c r="G129" s="87" t="str">
        <f>IF(FN_MC!M130="","*",FN_MC!M130)</f>
        <v>TCS-TOM</v>
      </c>
      <c r="H129" s="125">
        <f>IF(FN_MC!K130="","*",FN_MC!K130)</f>
        <v>291</v>
      </c>
      <c r="I129" s="110">
        <f>IF(FN_MC!O130="","*",FN_MC!O130)</f>
        <v>0.45833333333333331</v>
      </c>
      <c r="J129" s="110">
        <f>IF(FN_MC!P130="","*",FN_MC!P130)</f>
        <v>4.1666666666666664E-2</v>
      </c>
      <c r="K129" s="118" t="str">
        <f>IF(FN_MC!AK130="","*",FN_MC!AK130)</f>
        <v>TCS2</v>
      </c>
      <c r="L129" s="118" t="str">
        <f>IF(FN_MC!AM130="","*",FN_MC!AM130)</f>
        <v>TCS-TOM</v>
      </c>
      <c r="M129" s="118">
        <f>IF(FN_MC!AP130="","*",FN_MC!AP130)</f>
        <v>291</v>
      </c>
      <c r="N129" s="118" t="str">
        <f>IF(FN_MC!AM130="","*",FN_MC!AM130)</f>
        <v>TCS-TOM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1160</v>
      </c>
      <c r="D2" s="83" t="s">
        <v>1162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ESCALA</v>
      </c>
      <c r="I114" s="101" t="str">
        <f>IF(FN_MC!AC119="","*",FN_MC!AC119)</f>
        <v>*</v>
      </c>
      <c r="J114" s="102">
        <f>IF(FN_MC!AA119="","*",FN_MC!AA119)</f>
        <v>2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>
        <f>IF(FN_MC!B130="","*",FN_MC!B130)</f>
        <v>46089</v>
      </c>
      <c r="D125" s="101" t="str">
        <f>IF(FN_MC!D130="","*",FN_MC!D130)</f>
        <v>V80</v>
      </c>
      <c r="E125" s="101" t="str">
        <f>IF(FN_MC!H130="","*",FN_MC!H130)</f>
        <v>TCS2</v>
      </c>
      <c r="F125" s="114" t="str">
        <f>IF(FN_MC!M130="","*",FN_MC!M130)</f>
        <v>TCS-TOM</v>
      </c>
      <c r="G125" s="101" t="str">
        <f>IF(FN_MC!I130="","*",FN_MC!I130)</f>
        <v>TOM</v>
      </c>
      <c r="H125" s="101" t="str">
        <f>IF(FN_MC!AB130="","*",FN_MC!AB130)</f>
        <v>FIXO</v>
      </c>
      <c r="I125" s="101" t="str">
        <f>IF(FN_MC!AC130="","*",FN_MC!AC130)</f>
        <v>*</v>
      </c>
      <c r="J125" s="102">
        <f>IF(FN_MC!AA130="","*",FN_MC!AA130)</f>
        <v>1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2026-03-06T17:37:28Z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