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37" documentId="8_{B6337239-1A00-434D-AAD0-422EA1FEB5AE}" xr6:coauthVersionLast="47" xr6:coauthVersionMax="47" xr10:uidLastSave="{609B0B42-8FE1-4E6A-B571-2244EA1DF35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<sst xmlns="http://schemas.openxmlformats.org/spreadsheetml/2006/main" count="7364" uniqueCount="1857">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</sst>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92" activePane="bottomRight" state="frozen"/>
      <selection pane="bottomRight" activeCell="F399" sqref="F3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7" t="s">
        <v>1781</v>
      </c>
      <c r="BK374" s="327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1783</v>
      </c>
      <c r="BK375" s="327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1785</v>
      </c>
      <c r="BK376" s="327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7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1798</v>
      </c>
      <c r="BK384" s="327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9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1803</v>
      </c>
      <c r="BK386" s="327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7" t="s">
        <v>1804</v>
      </c>
      <c r="BK389" s="327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>V86</v>
      </c>
      <c r="B396" s="163"/>
      <c r="C396" s="8"/>
      <c r="D396" s="51" t="s">
        <v>813</v>
      </c>
      <c r="E396" s="312">
        <v>497</v>
      </c>
      <c r="F396" s="167" t="s">
        <v>715</v>
      </c>
      <c r="G396" s="9" t="str">
        <f>IF(D396="","*",VLOOKUP(F396,BS_ATIVIDADE[#All],3,FALSE))</f>
        <v>MECANIZAÇÃO - SOCADORA</v>
      </c>
      <c r="H396" s="142" t="s">
        <v>72</v>
      </c>
      <c r="I396" s="142" t="s">
        <v>72</v>
      </c>
      <c r="J396" s="37">
        <v>98</v>
      </c>
      <c r="K396" s="37">
        <v>712</v>
      </c>
      <c r="L396" s="83">
        <v>716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6" s="142"/>
      <c r="P396" s="142"/>
      <c r="Q396" s="83"/>
      <c r="R396" s="10" t="str">
        <f>IFERROR(_xlfn.XLOOKUP(F396, BS_ATIVIDADE[ATIVIDADE],BS_ATIVIDADE[UNIDADE] ), "*")</f>
        <v>M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6" s="80" t="str">
        <f>IFERROR(_xlfn.XLOOKUP(J396, BASE_MAPA!$E$2:$E$359, BASE_MAPA!$J$2:$J$359), "ERRO")</f>
        <v>ALTO ARAGUAIA - RONDONOPOLIS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MECANIZAÇÃO - SOCADORA</v>
      </c>
      <c r="AJ396" s="9" t="str">
        <f>IF(D396="","*",VLOOKUP(AI396,BS_ATIVIDADE[#Data],3,FALSE))</f>
        <v>MECANIZAÇÃO - SOCADORA</v>
      </c>
      <c r="AK396" s="297" t="str">
        <f>IF(BS_CONTROLE[[#This Row],[Local - Partida]]=0, "-", BS_CONTROLE[[#This Row],[Local - Partida]])</f>
        <v>TSF</v>
      </c>
      <c r="AL396" s="297" t="str">
        <f>IF(BS_CONTROLE[[#This Row],[Local - Encerramento]]=0, "-", BS_CONTROLE[[#This Row],[Local - Encerramento]])</f>
        <v>TSF</v>
      </c>
      <c r="AM396" s="297" t="str">
        <f>IF(BS_CONTROLE[[#This Row],[Entre - Estações]]=0, "-", BS_CONTROLE[[#This Row],[Entre - Estações]])</f>
        <v>TAL-TSF</v>
      </c>
      <c r="AN396" s="297" t="str">
        <f>IF(BS_CONTROLE[[#This Row],[SB]]=0, "-", BS_CONTROLE[[#This Row],[SB]])</f>
        <v>710TSF</v>
      </c>
      <c r="AO396" s="280">
        <f>IF(BS_CONTROLE[[#This Row],[SUB]]=0, "-", BS_CONTROLE[[#This Row],[SUB]])</f>
        <v>98</v>
      </c>
      <c r="AP396" s="281">
        <f>IF(BS_CONTROLE[[#This Row],[KM - Inicio]]=0, "-", BS_CONTROLE[[#This Row],[KM - Inicio]])</f>
        <v>712</v>
      </c>
      <c r="AQ396" s="281">
        <f>IF(BS_CONTROLE[[#This Row],[KM - Fim]]=0, "-", BS_CONTROLE[[#This Row],[KM - Fim]])</f>
        <v>716</v>
      </c>
      <c r="AR396" s="237"/>
      <c r="AS396" s="237"/>
      <c r="AT396" s="237"/>
      <c r="AU396" s="237"/>
      <c r="AV396" s="237"/>
      <c r="AW396" s="237"/>
      <c r="AX396" s="38"/>
      <c r="AY396" s="310">
        <f>IF(D396="","*",IFERROR(IF(ISODD(COUNT(AS396:AX396)),"ERRO",SUM((AT396-AS396),(AV396-AU396),(AX396-AW396))),"ERRO"))</f>
        <v>0</v>
      </c>
      <c r="AZ396" s="13"/>
      <c r="BA396" s="71"/>
      <c r="BB396" s="10" t="str">
        <f>IFERROR(_xlfn.XLOOKUP(AI396, BS_ATIVIDADE[ATIVIDADE],BS_ATIVIDADE[UNIDADE] ), "*")</f>
        <v>M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6" s="11" t="str">
        <f>IFERROR(_xlfn.XLOOKUP(AO396, BASE_MAPA!$E$2:$E$359, BASE_MAPA!$J$2:$J$359), "ERRO")</f>
        <v>ALTO ARAGUAIA - RONDONOPOLIS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</v>
      </c>
      <c r="B399" s="163"/>
      <c r="C399" s="8"/>
      <c r="D399" s="51" t="s">
        <v>848</v>
      </c>
      <c r="E399" s="311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/>
      <c r="P399" s="142"/>
      <c r="Q399" s="83"/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10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91" t="s">
        <v>1806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1807</v>
      </c>
      <c r="E3" s="313" t="s">
        <v>1808</v>
      </c>
      <c r="F3" s="313" t="s">
        <v>1809</v>
      </c>
      <c r="G3" s="313" t="s">
        <v>1810</v>
      </c>
      <c r="H3" s="313" t="s">
        <v>1811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1812</v>
      </c>
      <c r="G6" s="314"/>
      <c r="H6" s="314"/>
    </row>
    <row r="7" spans="3:8">
      <c r="C7" s="314" t="s">
        <v>847</v>
      </c>
      <c r="D7" s="314">
        <v>7632</v>
      </c>
      <c r="E7" s="315">
        <v>46045</v>
      </c>
      <c r="F7" s="317">
        <v>3200</v>
      </c>
      <c r="G7" s="314"/>
      <c r="H7" s="314"/>
    </row>
    <row r="8" spans="3:8">
      <c r="C8" s="314" t="s">
        <v>847</v>
      </c>
      <c r="D8" s="314">
        <v>9414</v>
      </c>
      <c r="E8" s="315">
        <v>46045</v>
      </c>
      <c r="F8" s="314">
        <v>7000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1813</v>
      </c>
      <c r="G10" s="314" t="s">
        <v>1814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1815</v>
      </c>
      <c r="G11" s="314" t="s">
        <v>1816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1817</v>
      </c>
      <c r="G12" s="314" t="s">
        <v>1816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1818</v>
      </c>
      <c r="W1" s="397"/>
      <c r="X1" s="397"/>
      <c r="Y1" s="103"/>
    </row>
    <row r="2" spans="1:25" s="100" customFormat="1" ht="11.25" customHeight="1">
      <c r="A2" s="104" t="s">
        <v>1819</v>
      </c>
      <c r="B2" s="104" t="s">
        <v>1820</v>
      </c>
      <c r="C2" s="104" t="s">
        <v>605</v>
      </c>
      <c r="D2" s="105" t="s">
        <v>1177</v>
      </c>
      <c r="E2" s="105" t="s">
        <v>1178</v>
      </c>
      <c r="F2" s="105" t="s">
        <v>1821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1822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FERRONORTE</v>
      </c>
      <c r="E393" s="109" t="str">
        <f>IF(FN_MC!T396="","*",FN_MC!T396)</f>
        <v>TGR-TRO</v>
      </c>
      <c r="F393" s="109" t="str">
        <f>IF(FN_MC!B396="","*",FN_MC!B396)</f>
        <v>*</v>
      </c>
      <c r="G393" s="109" t="str">
        <f>IF(FN_MC!D396="","*",FN_MC!D396)</f>
        <v>V86</v>
      </c>
      <c r="H393" s="109" t="str">
        <f>IF(FN_MC!F396="","*",FN_MC!F396)</f>
        <v>MECANIZAÇÃO - SOCADORA</v>
      </c>
      <c r="I393" s="109" t="str">
        <f>IF(FN_MC!H396="","*",FN_MC!H396)</f>
        <v>TSF</v>
      </c>
      <c r="J393" s="109" t="str">
        <f>IF(FN_MC!I396="","*",FN_MC!I396)</f>
        <v>TSF</v>
      </c>
      <c r="K393" s="109" t="str">
        <f>IF(FN_MC!M396="","*",FN_MC!M396)</f>
        <v>TAL-TSF</v>
      </c>
      <c r="L393" s="325" t="str">
        <f>IF(FN_MC!N396="","*",FN_MC!N396)</f>
        <v>710TSF</v>
      </c>
      <c r="M393" s="110">
        <f>IF(FN_MC!J396="","*",FN_MC!J396)</f>
        <v>98</v>
      </c>
      <c r="N393" s="291">
        <f>IF(FN_MC!K396="","*",FN_MC!K396)</f>
        <v>712</v>
      </c>
      <c r="O393" s="291">
        <f>IF(FN_MC!L396="","*",FN_MC!L396)</f>
        <v>716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>
        <f ca="1">_xlfn.XLOOKUP(G393&amp;$V$2,BS_CONTROLE[CHAVE],BS_CONTROLE[Quantidade_11],"-")</f>
        <v>0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1894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 t="str">
        <f>IF(FN_MC!B399="","*",FN_MC!B399)</f>
        <v>*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5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1823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1824</v>
      </c>
      <c r="C2" s="95" t="s">
        <v>1162</v>
      </c>
      <c r="D2" s="95" t="s">
        <v>1164</v>
      </c>
      <c r="E2" s="95" t="s">
        <v>1825</v>
      </c>
      <c r="F2" s="95" t="s">
        <v>1826</v>
      </c>
      <c r="G2" s="95" t="s">
        <v>1827</v>
      </c>
      <c r="H2" s="95" t="s">
        <v>1828</v>
      </c>
      <c r="I2" s="95" t="s">
        <v>1829</v>
      </c>
      <c r="J2" s="95" t="s">
        <v>1830</v>
      </c>
      <c r="K2" s="130" t="s">
        <v>1831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V86</v>
      </c>
      <c r="E393" s="120" t="str">
        <f>IF(FN_MC!H396="","*",FN_MC!H396)</f>
        <v>TSF</v>
      </c>
      <c r="F393" s="136" t="str">
        <f>IF(FN_MC!M396="","*",FN_MC!M396)</f>
        <v>TAL-TSF</v>
      </c>
      <c r="G393" s="120" t="str">
        <f>IF(FN_MC!I396="","*",FN_MC!I396)</f>
        <v>TSF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V86</v>
      </c>
      <c r="E501" s="120" t="str">
        <f>IF(FN_MC!H396="","*",FN_MC!H396)</f>
        <v>TSF</v>
      </c>
      <c r="F501" s="136" t="str">
        <f>IF(FN_MC!M396="","*",FN_MC!M396)</f>
        <v>TAL-TSF</v>
      </c>
      <c r="G501" s="120" t="str">
        <f>IF(FN_MC!I396="","*",FN_MC!I396)</f>
        <v>TSF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1832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1833</v>
      </c>
      <c r="C4" s="318" t="s">
        <v>1834</v>
      </c>
      <c r="D4" s="318" t="s">
        <v>1835</v>
      </c>
      <c r="E4" s="318" t="s">
        <v>1836</v>
      </c>
      <c r="F4" s="318" t="s">
        <v>7</v>
      </c>
      <c r="G4" s="318" t="s">
        <v>1837</v>
      </c>
      <c r="H4" s="187"/>
    </row>
    <row r="5" spans="1:8" ht="43.5">
      <c r="A5" s="187"/>
      <c r="B5" s="319" t="s">
        <v>1838</v>
      </c>
      <c r="C5" s="319">
        <v>309525</v>
      </c>
      <c r="D5" s="319" t="s">
        <v>1839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1840</v>
      </c>
      <c r="C6" s="319">
        <v>256875</v>
      </c>
      <c r="D6" s="319" t="s">
        <v>1841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1842</v>
      </c>
      <c r="C7" s="319">
        <v>257278</v>
      </c>
      <c r="D7" s="319" t="s">
        <v>1843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1844</v>
      </c>
      <c r="C8" s="319">
        <v>261794</v>
      </c>
      <c r="D8" s="319" t="s">
        <v>1845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1846</v>
      </c>
      <c r="C9" s="319">
        <v>257033</v>
      </c>
      <c r="D9" s="319" t="s">
        <v>1847</v>
      </c>
      <c r="E9" s="319" t="s">
        <v>838</v>
      </c>
      <c r="F9" s="319" t="s">
        <v>194</v>
      </c>
      <c r="G9" s="319" t="s">
        <v>1848</v>
      </c>
      <c r="H9" s="187"/>
    </row>
    <row r="10" spans="1:8" ht="43.5">
      <c r="A10" s="187"/>
      <c r="B10" s="319" t="s">
        <v>1849</v>
      </c>
      <c r="C10" s="319">
        <v>396578</v>
      </c>
      <c r="D10" s="319" t="s">
        <v>1850</v>
      </c>
      <c r="E10" s="319" t="s">
        <v>838</v>
      </c>
      <c r="F10" s="319" t="s">
        <v>194</v>
      </c>
      <c r="G10" s="319" t="s">
        <v>1848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1851</v>
      </c>
      <c r="D5" s="401"/>
      <c r="E5" s="401"/>
      <c r="F5" s="401"/>
      <c r="G5" s="401"/>
      <c r="H5" s="401"/>
      <c r="I5" s="401"/>
      <c r="J5" s="402"/>
      <c r="K5" s="403" t="s">
        <v>1852</v>
      </c>
      <c r="L5" s="404"/>
      <c r="M5" s="404"/>
      <c r="N5" s="404"/>
      <c r="O5" s="405" t="s">
        <v>1853</v>
      </c>
      <c r="P5" s="406"/>
      <c r="Q5" s="407"/>
    </row>
    <row r="6" spans="1:17" s="93" customFormat="1" ht="15.75" customHeight="1">
      <c r="A6" s="87" t="s">
        <v>1821</v>
      </c>
      <c r="B6" s="94" t="s">
        <v>1820</v>
      </c>
      <c r="C6" s="95" t="s">
        <v>1177</v>
      </c>
      <c r="D6" s="96" t="s">
        <v>1178</v>
      </c>
      <c r="E6" s="95" t="s">
        <v>1854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1855</v>
      </c>
      <c r="M6" s="138" t="s">
        <v>628</v>
      </c>
      <c r="N6" s="139" t="s">
        <v>1172</v>
      </c>
      <c r="O6" s="241" t="s">
        <v>1215</v>
      </c>
      <c r="P6" s="152"/>
      <c r="Q6" s="188" t="s">
        <v>1856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FERRONORTE</v>
      </c>
      <c r="D482" s="99" t="str">
        <f>IF(FN_MC!T396="","*",FN_MC!T396)</f>
        <v>TGR-TRO</v>
      </c>
      <c r="E482" s="99" t="str">
        <f>IF(FN_MC!D396="","*",FN_MC!D396)</f>
        <v>V86</v>
      </c>
      <c r="F482" s="99" t="str">
        <f>IF(FN_MC!H396="","*",FN_MC!H396)</f>
        <v>TSF</v>
      </c>
      <c r="G482" s="99" t="str">
        <f>IF(FN_MC!M396="","*",FN_MC!M396)</f>
        <v>TAL-TSF</v>
      </c>
      <c r="H482" s="149">
        <f>IF(FN_MC!K396="","*",FN_MC!K396)</f>
        <v>712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TSF</v>
      </c>
      <c r="L482" s="140" t="str">
        <f>IF(FN_MC!AM396="","*",FN_MC!AM396)</f>
        <v>TAL-TSF</v>
      </c>
      <c r="M482" s="140">
        <f>IF(FN_MC!AP396="","*",FN_MC!AP396)</f>
        <v>712</v>
      </c>
      <c r="N482" s="140" t="str">
        <f>IF(FN_MC!AM396="","*",FN_MC!AM396)</f>
        <v>TAL-TSF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2026-01-23T16:19:57Z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