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28" documentId="8_{B6337239-1A00-434D-AAD0-422EA1FEB5AE}" xr6:coauthVersionLast="47" xr6:coauthVersionMax="47" xr10:uidLastSave="{66F3E325-C8C1-4178-992F-B7384B093AC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3" i="1" l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8" i="1" a="1"/>
  <c r="N438" i="1"/>
  <c r="N440" i="1" a="1"/>
  <c r="N440" i="1"/>
  <c r="N441" i="1" a="1"/>
  <c r="N441" i="1"/>
  <c r="N444" i="1" a="1"/>
  <c r="N444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6" i="1" a="1"/>
  <c r="N456" i="1"/>
  <c r="N457" i="1" a="1"/>
  <c r="N457" i="1"/>
  <c r="N458" i="1" a="1"/>
  <c r="N458" i="1"/>
  <c r="M438" i="1" a="1"/>
  <c r="M438" i="1"/>
  <c r="M440" i="1" a="1"/>
  <c r="M440" i="1"/>
  <c r="M441" i="1" a="1"/>
  <c r="M441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N459" i="1" a="1"/>
  <c r="N459" i="1"/>
  <c r="N460" i="1" a="1"/>
  <c r="N460" i="1"/>
  <c r="N461" i="1" a="1"/>
  <c r="N461" i="1"/>
  <c r="N462" i="1" a="1"/>
  <c r="N462" i="1"/>
  <c r="N463" i="1" a="1"/>
  <c r="N463" i="1"/>
  <c r="N464" i="1" a="1"/>
  <c r="N464" i="1"/>
  <c r="N465" i="1" a="1"/>
  <c r="N465" i="1"/>
  <c r="N466" i="1" a="1"/>
  <c r="N466" i="1"/>
  <c r="N467" i="1" a="1"/>
  <c r="N467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3" i="1" a="1"/>
  <c r="N423" i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3" i="1" a="1"/>
  <c r="M423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 s="1"/>
  <c r="M145" i="1" a="1"/>
  <c r="M145" i="1"/>
  <c r="K143" i="12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/>
  <c r="I138" i="12" s="1"/>
  <c r="N139" i="1" a="1"/>
  <c r="N139" i="1" s="1"/>
  <c r="M139" i="1" a="1"/>
  <c r="M139" i="1"/>
  <c r="K137" i="12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/>
  <c r="L106" i="12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/>
  <c r="K126" i="12" s="1"/>
  <c r="N127" i="1" a="1"/>
  <c r="N127" i="1" s="1"/>
  <c r="M127" i="1" a="1"/>
  <c r="M127" i="1" s="1"/>
  <c r="N126" i="1" a="1"/>
  <c r="N126" i="1"/>
  <c r="L124" i="12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/>
  <c r="K129" i="12" s="1"/>
  <c r="M124" i="1" a="1"/>
  <c r="M124" i="1" s="1"/>
  <c r="K122" i="12" s="1"/>
  <c r="M123" i="1" a="1"/>
  <c r="M123" i="1" s="1"/>
  <c r="M117" i="1" a="1"/>
  <c r="M117" i="1"/>
  <c r="K115" i="12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/>
  <c r="L140" i="12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/>
  <c r="L120" i="12" s="1"/>
  <c r="N121" i="1" a="1"/>
  <c r="N121" i="1" s="1"/>
  <c r="N120" i="1" a="1"/>
  <c r="N120" i="1" s="1"/>
  <c r="L118" i="12" s="1"/>
  <c r="N110" i="1" a="1"/>
  <c r="N110" i="1"/>
  <c r="L108" i="12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/>
  <c r="L63" i="12" s="1"/>
  <c r="N67" i="1" a="1"/>
  <c r="N67" i="1" s="1"/>
  <c r="L65" i="12" s="1"/>
  <c r="N68" i="1" a="1"/>
  <c r="N68" i="1" s="1"/>
  <c r="N69" i="1" a="1"/>
  <c r="N69" i="1"/>
  <c r="L67" i="12" s="1"/>
  <c r="N70" i="1" a="1"/>
  <c r="N70" i="1" s="1"/>
  <c r="N74" i="1" a="1"/>
  <c r="N74" i="1" s="1"/>
  <c r="M63" i="1" a="1"/>
  <c r="M63" i="1"/>
  <c r="K61" i="12" s="1"/>
  <c r="M64" i="1" a="1"/>
  <c r="M64" i="1" s="1"/>
  <c r="M65" i="1" a="1"/>
  <c r="M65" i="1" s="1"/>
  <c r="M67" i="1" a="1"/>
  <c r="M67" i="1"/>
  <c r="K65" i="12" s="1"/>
  <c r="M68" i="1" a="1"/>
  <c r="M68" i="1" s="1"/>
  <c r="M69" i="1" a="1"/>
  <c r="M69" i="1" s="1"/>
  <c r="M70" i="1" a="1"/>
  <c r="M70" i="1"/>
  <c r="K68" i="12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/>
  <c r="K50" i="12" s="1"/>
  <c r="N48" i="1" a="1"/>
  <c r="N48" i="1" s="1"/>
  <c r="M48" i="1" a="1"/>
  <c r="M48" i="1" s="1"/>
  <c r="N47" i="1" a="1"/>
  <c r="N47" i="1"/>
  <c r="L45" i="12" s="1"/>
  <c r="M47" i="1" a="1"/>
  <c r="M47" i="1" s="1"/>
  <c r="M46" i="1" a="1"/>
  <c r="M46" i="1" s="1"/>
  <c r="N42" i="1" a="1"/>
  <c r="N42" i="1"/>
  <c r="L40" i="12" s="1"/>
  <c r="M42" i="1" a="1"/>
  <c r="M42" i="1" s="1"/>
  <c r="N41" i="1" a="1"/>
  <c r="N41" i="1" s="1"/>
  <c r="M41" i="1" a="1"/>
  <c r="M41" i="1"/>
  <c r="K39" i="12" s="1"/>
  <c r="N40" i="1" a="1"/>
  <c r="N40" i="1" s="1"/>
  <c r="M40" i="1" a="1"/>
  <c r="M40" i="1" s="1"/>
  <c r="N95" i="1" a="1"/>
  <c r="N95" i="1"/>
  <c r="L93" i="12" s="1"/>
  <c r="N92" i="1" a="1"/>
  <c r="N92" i="1" s="1"/>
  <c r="L90" i="12" s="1"/>
  <c r="N88" i="1" a="1"/>
  <c r="N88" i="1" s="1"/>
  <c r="N87" i="1" a="1"/>
  <c r="N87" i="1"/>
  <c r="L85" i="12" s="1"/>
  <c r="N86" i="1" a="1"/>
  <c r="N86" i="1" s="1"/>
  <c r="N84" i="1" a="1"/>
  <c r="N84" i="1" s="1"/>
  <c r="N83" i="1" a="1"/>
  <c r="N83" i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43" i="1" l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<sst xmlns="http://schemas.openxmlformats.org/spreadsheetml/2006/main" count="9999" uniqueCount="1603">
  <si>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</si>
  <si>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</si>
  <si>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</si>
  <si>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</si>
  <si>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</si>
  <si>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</si>
  <si>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</si>
  <si>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</si>
  <si>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</si>
  <si>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</si>
  <si>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</si>
  <si>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</si>
  <si>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</si>
  <si>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</si>
  <si>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</si>
  <si>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</si>
  <si>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</si>
  <si>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</si>
  <si>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</si>
  <si>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</si>
  <si>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</si>
  <si>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</si>
  <si>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</si>
  <si>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</si>
  <si>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</si>
  <si>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</si>
  <si>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</si>
  <si>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</si>
  <si>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</si>
  <si>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</si>
  <si>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</si>
  <si>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</si>
  <si>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</si>
  <si>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</si>
  <si>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</si>
  <si>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</si>
  <si>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</si>
  <si>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</si>
  <si>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</si>
  <si>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</si>
  <si>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</si>
  <si>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</si>
  <si>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</si>
  <si>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</si>
  <si>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</si>
  <si>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</si>
  <si>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</si>
  <si>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</si>
  <si>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</si>
  <si>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</si>
  <si>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</si>
  <si>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</si>
  <si>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</si>
  <si>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</si>
  <si>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</si>
  <si>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</si>
  <si>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</si>
  <si>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</si>
  <si>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</si>
  <si>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</si>
  <si>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</si>
  <si>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</si>
  <si>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</si>
  <si>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</si>
  <si>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</si>
  <si>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</si>
  <si>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</si>
  <si>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</si>
  <si>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</si>
  <si>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</si>
  <si>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</si>
  <si>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</si>
  <si>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</si>
  <si>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</si>
  <si>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</si>
  <si>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</si>
  <si>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</si>
  <si>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</si>
  <si>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</si>
  <si>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</si>
  <si>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</si>
  <si>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</si>
  <si>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</si>
  <si>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</si>
  <si>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</si>
  <si>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</si>
  <si>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</si>
  <si>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</si>
  <si>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</si>
  <si>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</si>
  <si>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</si>
  <si>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</si>
  <si>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</si>
  <si>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</si>
  <si>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</si>
  <si>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</si>
  <si>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</si>
  <si>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</si>
  <si>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</si>
  <si>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</si>
  <si>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</si>
  <si>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</si>
  <si>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</si>
  <si>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</si>
  <si>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</si>
  <si>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</si>
  <si>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</si>
  <si>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</si>
  <si>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</si>
  <si>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</si>
  <si>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</si>
  <si>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</si>
  <si>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</si>
  <si>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</si>
  <si>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</si>
  <si>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</si>
  <si>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</si>
  <si>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</si>
  <si>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</si>
  <si>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</si>
  <si>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</si>
  <si>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</si>
  <si>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</si>
  <si>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</si>
  <si>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</si>
  <si>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</si>
  <si>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</si>
  <si>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</si>
  <si>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</si>
  <si>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</si>
  <si>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</si>
  <si>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</si>
  <si>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</si>
  <si>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</si>
  <si>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</si>
  <si>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</si>
  <si>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</si>
  <si>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</si>
  <si>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</si>
  <si>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</si>
  <si>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</si>
  <si>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</si>
  <si>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</si>
  <si>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</si>
  <si>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</si>
  <si>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</si>
  <si>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</si>
  <si>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</si>
  <si>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</si>
  <si>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</si>
  <si>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</si>
  <si>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</si>
  <si>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</si>
  <si>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</si>
  <si>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</si>
  <si>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</si>
  <si>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</si>
  <si>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</si>
  <si>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</si>
  <si>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</si>
  <si>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</si>
  <si>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</si>
  <si>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</si>
  <si>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</si>
  <si>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</si>
  <si>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</si>
  <si>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</si>
  <si>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</si>
  <si>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</si>
  <si>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</si>
  <si>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</si>
  <si>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</si>
  <si>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</si>
  <si>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</si>
  <si>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</si>
  <si>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</si>
  <si>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</si>
  <si>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</si>
  <si>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</si>
  <si>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</si>
  <si>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</si>
  <si>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</si>
  <si>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</si>
  <si>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</si>
  <si>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</si>
  <si>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</si>
  <si>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</si>
  <si>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</si>
  <si>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</si>
  <si>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</si>
  <si>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</si>
  <si>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</si>
  <si>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</si>
  <si>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</si>
  <si>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</si>
  <si>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</si>
  <si>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</si>
  <si>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</si>
  <si>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</si>
  <si>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</si>
  <si>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</si>
  <si>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</si>
  <si>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</si>
  <si>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</si>
  <si>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</si>
  <si>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</si>
  <si>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</si>
  <si>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</si>
  <si>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</si>
  <si>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</si>
  <si>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</si>
  <si>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</si>
  <si>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</si>
  <si>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</si>
  <si>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</si>
  <si>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</si>
  <si>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</si>
  <si>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</si>
  <si>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</si>
  <si>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</si>
  <si>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</si>
  <si>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</si>
  <si>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</si>
  <si>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</si>
  <si>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</si>
  <si>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</si>
  <si>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</si>
  <si>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</si>
  <si>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</si>
  <si>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</si>
  <si>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</si>
  <si>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</si>
  <si>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</si>
  <si>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</si>
  <si>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</si>
  <si>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</si>
  <si>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</si>
  <si>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</si>
  <si>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</si>
  <si>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</si>
  <si>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</si>
  <si>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</si>
  <si>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</si>
  <si>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</si>
  <si>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</si>
  <si>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</si>
  <si>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</si>
  <si>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</si>
  <si>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</si>
  <si>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</si>
  <si>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</si>
  <si>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</si>
  <si>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</si>
  <si>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</si>
  <si>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</si>
  <si>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</si>
  <si>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</si>
  <si>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</si>
  <si>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</si>
  <si>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</si>
  <si>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</si>
  <si>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</si>
  <si>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</si>
  <si>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</si>
  <si>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</si>
  <si>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</si>
  <si>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</si>
  <si>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</si>
  <si>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</si>
  <si>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</si>
  <si>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</si>
  <si>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</si>
  <si>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</si>
  <si>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</si>
  <si>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</si>
  <si>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</si>
  <si>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</si>
  <si>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</si>
  <si>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</si>
  <si>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</si>
  <si>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</si>
  <si>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</si>
  <si>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</si>
  <si>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</si>
  <si>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</si>
  <si>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</si>
  <si>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</si>
  <si>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</si>
  <si>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</si>
  <si>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</si>
  <si>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</si>
  <si>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</si>
  <si>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</si>
  <si>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</si>
  <si>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</si>
  <si>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</si>
  <si>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</si>
  <si>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</si>
  <si>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</si>
  <si>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</si>
  <si>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</si>
  <si>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</si>
  <si>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</si>
  <si>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</si>
  <si>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</si>
  <si>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</si>
  <si>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</si>
  <si>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</si>
  <si>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</si>
  <si>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</si>
  <si>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</si>
  <si>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</si>
  <si>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</si>
  <si>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</si>
  <si>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</si>
  <si>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</si>
  <si>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</si>
  <si>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</si>
  <si>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</si>
  <si>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</si>
  <si>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</si>
  <si>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</si>
  <si>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</si>
  <si>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</si>
  <si>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</si>
  <si>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</si>
  <si>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</si>
  <si>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</si>
  <si>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</si>
  <si>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</si>
  <si>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</si>
  <si>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</si>
  <si>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</si>
  <si>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</si>
  <si>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</si>
  <si>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</si>
  <si>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</si>
  <si>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</si>
  <si>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</si>
  <si>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</si>
  <si>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</si>
  <si>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</si>
  <si>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</si>
  <si>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</si>
  <si>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</si>
  <si>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</si>
  <si>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</si>
  <si>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</si>
  <si>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</si>
  <si>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</si>
  <si>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</si>
  <si>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</si>
  <si>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</si>
  <si>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</si>
  <si>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</si>
  <si>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</si>
  <si>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</si>
  <si>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</si>
  <si>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</si>
  <si>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</si>
  <si>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</si>
  <si>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</si>
  <si>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</si>
  <si>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</si>
  <si>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</si>
  <si>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</si>
  <si>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</si>
  <si>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</si>
  <si>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</si>
  <si>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</si>
  <si>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</si>
  <si>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</si>
  <si>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</si>
  <si>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</si>
  <si>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</si>
  <si>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</si>
  <si>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</si>
  <si>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</si>
  <si>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</si>
  <si>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</si>
  <si>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</si>
  <si>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</si>
  <si>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</si>
  <si>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</si>
  <si>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</si>
  <si>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</si>
  <si>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</si>
  <si>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</si>
  <si>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</si>
  <si>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</si>
  <si>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</si>
  <si>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</si>
  <si>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</si>
  <si>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</si>
  <si>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</si>
  <si>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</si>
  <si>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</si>
  <si>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</si>
  <si>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</si>
  <si>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</si>
  <si>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</si>
  <si>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</si>
  <si>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</si>
  <si>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</si>
  <si>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</si>
  <si>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</si>
  <si>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</si>
  <si>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</si>
  <si>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</si>
  <si>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</si>
  <si>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</si>
  <si>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</si>
  <si>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</si>
  <si>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</si>
  <si>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</si>
  <si>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</si>
  <si>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</si>
  <si>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</si>
  <si>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</si>
  <si>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</si>
  <si>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</si>
  <si>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</si>
  <si>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</si>
  <si>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</si>
  <si>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</si>
  <si>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</si>
  <si>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</si>
  <si>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</si>
  <si>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</si>
  <si>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</si>
  <si>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</si>
  <si>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</si>
  <si>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</si>
  <si>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</si>
  <si>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</si>
  <si>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</si>
  <si>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</si>
  <si>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</si>
  <si>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</si>
  <si>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</si>
  <si>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</si>
  <si>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</si>
  <si>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</si>
  <si>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</si>
  <si>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</si>
  <si>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</si>
  <si>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</si>
  <si>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</si>
  <si>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</si>
  <si>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</si>
  <si>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</si>
  <si>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</si>
  <si>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</si>
  <si>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</si>
  <si>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</si>
  <si>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</si>
  <si>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</si>
  <si>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</si>
  <si>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</si>
  <si>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</si>
  <si>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</si>
  <si>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</si>
  <si>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</si>
  <si>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</si>
  <si>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</si>
  <si>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</si>
  <si>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</si>
  <si>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</si>
  <si>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</si>
  <si>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</si>
  <si>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</si>
  <si>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</si>
  <si>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</si>
  <si>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</si>
  <si>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</si>
  <si>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</si>
  <si>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</si>
  <si>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</si>
  <si>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</si>
  <si>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</si>
  <si>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</si>
  <si>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</si>
  <si>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</si>
  <si>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</si>
  <si>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</si>
  <si>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</si>
  <si>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</si>
  <si>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</si>
  <si>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</si>
  <si>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</si>
  <si>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</si>
  <si>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</si>
  <si>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</si>
  <si>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</si>
  <si>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</si>
  <si>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</si>
  <si>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</si>
  <si>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</si>
  <si>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</si>
  <si>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</si>
  <si>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</si>
  <si>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</si>
  <si>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</si>
  <si>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</si>
  <si>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</si>
  <si>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</si>
  <si>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</si>
  <si>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</si>
  <si>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</si>
  <si>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</si>
  <si>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</si>
  <si>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</si>
  <si>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</si>
  <si>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</si>
  <si>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</si>
  <si>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</si>
  <si>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</si>
  <si>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</si>
  <si>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</si>
  <si>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</si>
  <si>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</si>
  <si>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</si>
  <si>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</si>
  <si>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</si>
  <si>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</si>
  <si>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</si>
  <si>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</si>
  <si>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</si>
  <si>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</si>
  <si>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</si>
  <si>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</si>
  <si>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</si>
  <si>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</si>
  <si>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</si>
  <si>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</si>
  <si>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</si>
  <si>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</si>
  <si>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</si>
  <si>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</si>
  <si>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</si>
  <si>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</si>
  <si>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</si>
  <si>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</si>
  <si>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</si>
  <si>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</si>
  <si>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</si>
  <si>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</si>
  <si>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</si>
  <si>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</si>
  <si>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</si>
  <si>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</si>
  <si>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</si>
  <si>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</si>
  <si>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</si>
  <si>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</si>
  <si>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</si>
  <si>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</si>
  <si>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</si>
  <si>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</si>
  <si>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</si>
  <si>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</si>
  <si>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</si>
  <si>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</si>
  <si>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</si>
  <si>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</si>
  <si>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</si>
  <si>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</si>
  <si>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</si>
  <si>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</si>
  <si>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</si>
  <si>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</si>
  <si>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</si>
  <si>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</si>
  <si>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</si>
  <si>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</si>
  <si>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</si>
  <si>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</si>
  <si>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</si>
  <si>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</si>
  <si>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</si>
  <si>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</si>
  <si>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</si>
  <si>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</si>
  <si>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</si>
  <si>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</si>
  <si>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</si>
  <si>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</si>
  <si>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</si>
  <si>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</si>
  <si>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</si>
  <si>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</si>
  <si>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</si>
  <si>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</si>
  <si>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</si>
  <si>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</si>
  <si>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</si>
  <si>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</si>
  <si>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</si>
  <si>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</si>
  <si>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</si>
  <si>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</si>
  <si>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</si>
  <si>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</si>
  <si>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</si>
  <si>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</si>
  <si>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</si>
  <si>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</si>
  <si>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</si>
  <si>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</si>
  <si>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</si>
  <si>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</si>
  <si>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</si>
  <si>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</si>
  <si>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</si>
  <si>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</si>
  <si>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</si>
  <si>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</si>
  <si>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</si>
  <si>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</si>
  <si>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</si>
  <si>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</si>
  <si>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</si>
  <si>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</si>
  <si>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</si>
  <si>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</si>
  <si>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</si>
  <si>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</si>
  <si>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</si>
  <si>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</si>
  <si>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</si>
  <si>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</si>
  <si>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</si>
  <si>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</si>
  <si>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</si>
  <si>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</si>
  <si>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</si>
  <si>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</si>
  <si>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</si>
  <si>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</si>
  <si>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</si>
  <si>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</si>
  <si>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</si>
  <si>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</si>
  <si>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</si>
  <si>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</si>
  <si>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</si>
  <si>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</si>
  <si>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</si>
  <si>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</si>
  <si>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</si>
  <si>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</si>
  <si>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</si>
  <si>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</si>
  <si>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</si>
  <si>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</si>
  <si>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</si>
  <si>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</si>
  <si>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</si>
  <si>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</si>
  <si>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</si>
  <si>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</si>
  <si>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</si>
  <si>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</si>
  <si>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</si>
  <si>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</si>
  <si>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</si>
  <si>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</si>
  <si>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</si>
  <si>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</si>
  <si>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</si>
  <si>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</si>
  <si>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</si>
  <si>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</si>
  <si>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</si>
  <si>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</si>
  <si>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</si>
  <si>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</si>
  <si>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</si>
  <si>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</si>
  <si>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</si>
  <si>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</si>
  <si>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</si>
  <si>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</si>
  <si>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</si>
  <si>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</si>
  <si>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</si>
  <si>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</si>
  <si>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</si>
  <si>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</si>
  <si>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</si>
  <si>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</si>
  <si>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</si>
  <si>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</si>
  <si>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</si>
  <si>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</si>
  <si>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</si>
  <si>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</si>
  <si>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</si>
  <si>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</si>
  <si>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</si>
  <si>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</si>
  <si>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</si>
  <si>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</si>
  <si>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</si>
  <si>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</si>
  <si>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</si>
  <si>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</si>
  <si>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</si>
  <si>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</si>
  <si>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</si>
  <si>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</si>
  <si>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</si>
  <si>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</si>
  <si>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</si>
  <si>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</si>
  <si>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</si>
  <si>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</si>
  <si>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</si>
  <si>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</si>
  <si>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</si>
  <si>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</si>
  <si>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</si>
  <si>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</si>
  <si>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</si>
  <si>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</si>
  <si>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</si>
  <si>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</si>
  <si>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</si>
  <si>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</si>
  <si>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</si>
  <si>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</si>
  <si>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</si>
  <si>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</si>
  <si>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</si>
  <si>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</si>
  <si>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</si>
  <si>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</si>
  <si>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</si>
  <si>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</si>
  <si>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</si>
  <si>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</si>
  <si>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</si>
  <si>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</si>
  <si>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</si>
  <si>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</si>
  <si>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</si>
  <si>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</si>
  <si>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</si>
  <si>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</si>
  <si>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</si>
  <si>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</si>
  <si>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</si>
  <si>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</si>
  <si>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</si>
  <si>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</si>
  <si>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</si>
  <si>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</si>
  <si>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</si>
  <si>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</si>
  <si>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</si>
  <si>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</si>
  <si>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</si>
  <si>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</si>
  <si>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</si>
  <si>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</si>
  <si>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</si>
  <si>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</si>
  <si>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</si>
  <si>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</si>
  <si>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</si>
  <si>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</si>
  <si>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</si>
  <si>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</si>
  <si>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</si>
  <si>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</si>
  <si>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</si>
  <si>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</si>
  <si>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</si>
  <si>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</si>
  <si>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</si>
  <si>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</si>
  <si>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</si>
  <si>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</si>
  <si>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</si>
  <si>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</si>
  <si>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</si>
  <si>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</si>
  <si>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</si>
  <si>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</si>
  <si>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</si>
  <si>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</si>
  <si>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</si>
  <si>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</si>
  <si>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</si>
  <si>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</si>
  <si>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</si>
  <si>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</si>
  <si>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</si>
  <si>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</si>
  <si>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</si>
  <si>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</si>
  <si>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</si>
  <si>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</si>
  <si>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</si>
  <si>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</si>
  <si>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</si>
  <si>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</si>
  <si>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</si>
  <si>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</si>
  <si>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</si>
  <si>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</si>
  <si>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</si>
  <si>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</si>
  <si>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</si>
  <si>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</si>
  <si>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</si>
  <si>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</si>
  <si>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</si>
  <si>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</si>
  <si>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</si>
  <si>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</si>
  <si>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</si>
  <si>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</si>
  <si>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</si>
  <si>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</si>
  <si>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</si>
  <si>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</si>
  <si>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</si>
  <si>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</si>
  <si>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</si>
  <si>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</si>
  <si>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</si>
  <si>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</si>
  <si>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</si>
  <si>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</si>
  <si>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</si>
  <si>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</si>
  <si>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</si>
  <si>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</si>
  <si>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</si>
  <si>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</si>
  <si>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</si>
  <si>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</si>
  <si>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</si>
  <si>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</si>
  <si>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</si>
  <si>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</si>
  <si>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</si>
  <si>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</si>
  <si>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</si>
  <si>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</si>
  <si>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</si>
  <si>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</si>
  <si>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</si>
  <si>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</si>
  <si>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</si>
  <si>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</si>
  <si>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</si>
  <si>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</si>
  <si>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</si>
  <si>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</si>
  <si>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</si>
  <si>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</si>
  <si>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</si>
  <si>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</si>
  <si>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</si>
  <si>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</si>
  <si>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</si>
  <si>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</si>
  <si>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</si>
  <si>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</si>
  <si>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</si>
  <si>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</si>
  <si>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</si>
  <si>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</si>
  <si>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</si>
  <si>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</si>
  <si>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</si>
  <si>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</si>
  <si>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</si>
  <si>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</si>
  <si>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</si>
  <si>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</si>
  <si>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</si>
  <si>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</si>
  <si>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</si>
  <si>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</si>
  <si>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</si>
  <si>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</si>
  <si>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</si>
  <si>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</si>
  <si>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</si>
  <si>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</si>
  <si>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</si>
  <si>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</si>
  <si>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</si>
  <si>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</si>
  <si>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</si>
  <si>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</si>
  <si>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</si>
  <si>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</si>
  <si>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</si>
  <si>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</si>
  <si>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</si>
  <si>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</si>
  <si>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</si>
  <si>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</si>
  <si>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</si>
  <si>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</si>
  <si>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</si>
  <si>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</si>
  <si>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</si>
  <si>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</si>
  <si>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</si>
  <si>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</si>
  <si>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</si>
  <si>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</si>
  <si>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</si>
  <si>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</si>
  <si>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</si>
  <si>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</si>
  <si>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</si>
  <si>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</si>
  <si>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</si>
  <si>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</si>
  <si>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</si>
  <si>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</si>
  <si>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</si>
  <si>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</si>
  <si>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</si>
  <si>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</si>
  <si>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</si>
  <si>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</si>
  <si>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</si>
  <si>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</si>
  <si>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</si>
  <si>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</si>
  <si>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</si>
  <si>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</si>
  <si>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</si>
  <si>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</si>
  <si>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</si>
  <si>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</si>
  <si>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</si>
  <si>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</si>
  <si>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</si>
  <si>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</si>
  <si>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</si>
  <si>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</si>
  <si>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</si>
  <si>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</si>
  <si>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</si>
  <si>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</si>
  <si>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</si>
  <si>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</si>
  <si>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</si>
  <si>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</si>
  <si>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</si>
  <si>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</si>
  <si>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</si>
  <si>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</si>
  <si>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</si>
  <si>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</si>
  <si>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</si>
  <si>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</si>
  <si>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</si>
  <si>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</si>
  <si>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</si>
  <si>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</si>
  <si>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</si>
  <si>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</si>
  <si>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</si>
  <si>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</si>
  <si>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</si>
  <si>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</si>
  <si>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</si>
  <si>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</si>
  <si>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</si>
  <si>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</si>
  <si>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</si>
  <si>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</si>
  <si>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</si>
  <si>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</si>
  <si>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</si>
  <si>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</si>
  <si>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</si>
  <si>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</si>
  <si>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</si>
  <si>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</si>
  <si>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</si>
  <si>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</si>
  <si>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</si>
  <si>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</si>
  <si>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</si>
  <si>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</si>
  <si>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</si>
  <si>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</si>
  <si>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</si>
  <si>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</si>
  <si>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</si>
  <si>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</si>
  <si>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</si>
  <si>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</si>
  <si>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</si>
  <si>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</si>
  <si>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</si>
  <si>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</si>
  <si>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</si>
  <si>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</si>
  <si>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</si>
  <si>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</si>
  <si>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</si>
  <si>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</si>
  <si>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</si>
  <si>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</si>
  <si>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</si>
  <si>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</si>
  <si>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</si>
  <si>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</si>
  <si>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</si>
  <si>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</si>
  <si>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</si>
  <si>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</si>
  <si>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</si>
  <si>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</si>
  <si>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</si>
  <si>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</si>
  <si>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</si>
  <si>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</si>
  <si>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</si>
  <si>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</si>
  <si>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</si>
  <si>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</si>
  <si>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</si>
  <si>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</si>
  <si>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</si>
  <si>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</si>
  <si>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</si>
  <si>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</si>
  <si>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</si>
  <si>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</si>
  <si>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</si>
  <si>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</si>
  <si>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</si>
  <si>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</si>
  <si>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</si>
  <si>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</si>
  <si>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</si>
  <si>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</si>
  <si>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</si>
  <si>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</si>
  <si>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</si>
  <si>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</si>
  <si>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</si>
  <si>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</si>
  <si>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</si>
  <si>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</si>
  <si>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</si>
  <si>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</si>
  <si>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</si>
  <si>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</si>
  <si>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</si>
  <si>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</si>
  <si>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</si>
  <si>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</si>
  <si>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</si>
  <si>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</si>
  <si>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</si>
  <si>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</si>
  <si>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</si>
  <si>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</si>
  <si>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</si>
  <si>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</si>
  <si>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</si>
  <si>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</si>
  <si>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</si>
  <si>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</si>
  <si>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</si>
  <si>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</si>
  <si>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</si>
  <si>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</si>
  <si>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</si>
  <si>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</si>
  <si>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</si>
  <si>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</si>
  <si>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</si>
  <si>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</si>
  <si>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</si>
  <si>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</si>
  <si>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</si>
  <si>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</si>
  <si>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</si>
  <si>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</si>
  <si>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</si>
  <si>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</si>
  <si>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</si>
  <si>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</si>
  <si>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</si>
  <si>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</si>
  <si>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</si>
  <si>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</si>
  <si>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</si>
  <si>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</si>
  <si>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</si>
  <si>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</si>
  <si>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</si>
  <si>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</si>
  <si>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</si>
  <si>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</si>
  <si>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</si>
  <si>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</si>
  <si>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</si>
  <si>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</si>
  <si>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</si>
  <si>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</si>
  <si>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</si>
  <si>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</si>
  <si>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</si>
  <si>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</si>
  <si>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</si>
  <si>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</si>
  <si>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</si>
  <si>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</si>
  <si>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</si>
  <si>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</si>
  <si>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</si>
  <si>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</si>
  <si>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</si>
  <si>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</si>
  <si>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</si>
  <si>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</si>
  <si>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</si>
  <si>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</si>
  <si>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</si>
  <si>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</si>
  <si>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</si>
  <si>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</si>
  <si>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</si>
  <si>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</si>
  <si>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</si>
  <si>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</si>
  <si>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</si>
  <si>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</si>
  <si>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</si>
  <si>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</si>
  <si>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</si>
  <si>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</si>
  <si>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</si>
  <si>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</si>
  <si>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</si>
  <si>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</si>
  <si>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</si>
  <si>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</si>
  <si>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</si>
  <si>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</si>
  <si>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</si>
  <si>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</si>
  <si>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</si>
  <si>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</si>
  <si>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</si>
  <si>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</si>
  <si>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</si>
  <si>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</si>
  <si>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</si>
  <si>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</si>
  <si>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</si>
  <si>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</si>
  <si>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</si>
  <si>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</si>
  <si>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</si>
  <si>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</si>
  <si>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</si>
  <si>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</si>
  <si>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</si>
  <si>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</si>
  <si>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</si>
  <si>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</si>
  <si>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</si>
  <si>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</si>
  <si>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</si>
  <si>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</si>
  <si>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</si>
  <si>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</si>
  <si>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</si>
  <si>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</si>
  <si>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</si>
  <si>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</si>
  <si>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</si>
  <si>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</si>
  <si>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</si>
  <si>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</si>
  <si>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</si>
  <si>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</si>
  <si>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</si>
  <si>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</si>
  <si>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</si>
  <si>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</si>
  <si>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</si>
  <si>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</si>
  <si>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</si>
  <si>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</si>
  <si>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</si>
  <si>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</si>
  <si>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</si>
  <si>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</si>
  <si>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</si>
  <si>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</si>
  <si>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</si>
  <si>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</si>
  <si>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</si>
  <si>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</si>
  <si>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</si>
  <si>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</si>
  <si>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</si>
  <si>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</si>
  <si>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</si>
  <si>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</si>
  <si>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</si>
  <si>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</si>
  <si>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</si>
  <si>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</si>
  <si>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</si>
  <si>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</si>
  <si>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</si>
  <si>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</si>
  <si>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</si>
  <si>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</si>
  <si>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</si>
  <si>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</si>
  <si>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</si>
  <si>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</si>
  <si>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</si>
  <si>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</si>
  <si>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</si>
  <si>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</si>
  <si>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</si>
  <si>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</si>
  <si>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</si>
  <si>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</si>
  <si>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</si>
  <si>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</si>
  <si>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</si>
  <si>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</si>
  <si>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</si>
  <si>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</si>
  <si>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</si>
  <si>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</si>
  <si>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</si>
  <si>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</si>
  <si>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</si>
  <si>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</si>
  <si>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</si>
  <si>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</si>
  <si>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</si>
  <si>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</si>
  <si>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</si>
  <si>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</si>
  <si>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</si>
  <si>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</si>
  <si>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</si>
  <si>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</si>
  <si>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</si>
  <si>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</si>
  <si>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</si>
  <si>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</si>
  <si>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</si>
  <si>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</si>
  <si>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</si>
  <si>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</si>
  <si>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</si>
  <si>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</si>
  <si>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</si>
  <si>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</si>
  <si>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</si>
  <si>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</si>
  <si>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</si>
  <si>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</si>
  <si>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</si>
  <si>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</si>
  <si>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</si>
  <si>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</si>
  <si>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</si>
  <si>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</si>
  <si>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</si>
  <si>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</si>
  <si>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</si>
  <si>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</si>
  <si>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</si>
  <si>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</si>
  <si>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</si>
  <si>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</si>
  <si>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</si>
  <si>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</si>
  <si>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</si>
  <si>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</si>
  <si>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</si>
  <si>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</si>
  <si>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</si>
  <si>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</si>
  <si>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</si>
  <si>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</si>
  <si>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</si>
  <si>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</si>
  <si>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</si>
  <si>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</si>
  <si>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</si>
  <si>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</si>
  <si>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</si>
  <si>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</si>
  <si>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</si>
  <si>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</si>
  <si>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</si>
  <si>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</si>
  <si>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</si>
  <si>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</si>
  <si>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</si>
  <si>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</si>
  <si>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</si>
  <si>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</si>
  <si>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</si>
  <si>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</si>
  <si>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</si>
  <si>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</si>
  <si>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</si>
  <si>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</si>
  <si>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</si>
  <si>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</si>
  <si>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</si>
  <si>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</si>
  <si>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</si>
  <si>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</si>
  <si>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</si>
  <si>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</si>
  <si>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</si>
  <si>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</si>
  <si>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</si>
  <si>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</si>
  <si>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</si>
  <si>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</si>
  <si>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</si>
  <si>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</si>
  <si>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</si>
  <si>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</si>
  <si>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</si>
  <si>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</si>
  <si>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</si>
  <si>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</si>
  <si>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</si>
  <si>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</si>
  <si>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</si>
  <si>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</si>
  <si>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</si>
  <si>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</si>
  <si>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</si>
  <si>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</si>
  <si>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</si>
  <si>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</si>
  <si>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</si>
  <si>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</si>
  <si>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</si>
  <si>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</si>
  <si>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</si>
  <si>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</si>
  <si>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</si>
  <si>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</si>
  <si>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</si>
  <si>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</si>
  <si>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</si>
  <si>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</si>
  <si>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</si>
  <si>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</si>
  <si>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</si>
  <si>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</si>
  <si>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</si>
  <si>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</si>
  <si>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</si>
  <si>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</si>
  <si>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</si>
  <si>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</si>
  <si>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</si>
  <si>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</si>
  <si>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</si>
  <si>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</si>
  <si>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</si>
  <si>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</si>
  <si>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</si>
  <si>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</si>
  <si>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</si>
  <si>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</si>
  <si>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</si>
  <si>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</si>
  <si>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</si>
  <si>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</si>
  <si>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</si>
  <si>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</si>
  <si>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</si>
  <si>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</si>
  <si>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</si>
  <si>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</si>
  <si>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</si>
  <si>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</si>
  <si>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</si>
  <si>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</si>
  <si>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</si>
  <si>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</si>
  <si>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</si>
  <si>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</si>
  <si>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</si>
  <si>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</si>
  <si>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</si>
  <si>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</si>
  <si>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</si>
  <si>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</si>
  <si>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</si>
  <si>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</si>
  <si>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</si>
  <si>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</si>
  <si>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</si>
  <si>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</si>
  <si>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</si>
  <si>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</si>
  <si>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</si>
  <si>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</si>
  <si>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</si>
  <si>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</si>
  <si>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</si>
  <si>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</si>
  <si>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</si>
  <si>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</si>
  <si>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</si>
  <si>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</si>
  <si>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</si>
  <si>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</si>
  <si>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</si>
  <si>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</si>
  <si>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</si>
  <si>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</si>
  <si>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</si>
  <si>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</si>
  <si>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</si>
  <si>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</si>
  <si>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</si>
  <si>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</si>
  <si>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</si>
  <si>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</si>
  <si>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</si>
  <si>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</si>
  <si>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</si>
  <si>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</si>
  <si>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</si>
  <si>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</si>
  <si>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</si>
  <si>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</si>
  <si>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</si>
  <si>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</si>
  <si>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</si>
  <si>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</si>
  <si>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</si>
  <si>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</si>
  <si>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</si>
  <si>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</si>
  <si>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</si>
  <si>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</si>
  <si>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</si>
  <si>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</si>
  <si>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</si>
  <si>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</si>
  <si>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</si>
  <si>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</si>
  <si>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</si>
  <si>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</si>
  <si>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</si>
  <si>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</si>
  <si>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</si>
  <si>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</si>
  <si>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</si>
  <si>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</si>
  <si>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</si>
  <si>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</si>
  <si>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</si>
  <si>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</si>
  <si>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</si>
  <si>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</si>
  <si>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</si>
  <si>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</si>
  <si>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</si>
  <si>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</si>
  <si>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</si>
  <si>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</si>
  <si>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</si>
  <si>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</si>
  <si>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</si>
  <si>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</si>
  <si>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</si>
  <si>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</si>
  <si>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</si>
  <si>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</si>
  <si>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</si>
  <si>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</si>
  <si>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</si>
  <si>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</si>
  <si>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</si>
  <si>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</si>
  <si>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</si>
  <si>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</si>
  <si>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</si>
  <si>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</si>
  <si>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15h02.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</si>
  <si>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</si>
  <si>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</si>
  <si>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</si>
  <si>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</si>
  <si>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</si>
  <si>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</si>
  <si>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</si>
  <si>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</si>
  <si>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</si>
  <si>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</si>
  <si>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</si>
  <si>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</si>
  <si>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</si>
  <si>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</si>
  <si>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</si>
  <si>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</si>
  <si>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</si>
  <si>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</si>
  <si>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</si>
  <si>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</si>
  <si>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12h46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</si>
  <si>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</si>
  <si>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</si>
  <si>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</si>
  <si>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</si>
  <si>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</si>
  <si>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Substituição de meia chave</t>
  </si>
  <si>
    <t xml:space="preserve">Descarga de trilhos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</si>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</sst>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U392" activePane="bottomRight" state="frozen"/>
      <selection pane="bottomRight" activeCell="BJ405" sqref="BJ4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0.62638888888888888</v>
      </c>
      <c r="AU393" s="39"/>
      <c r="AV393" s="39"/>
      <c r="AW393" s="39"/>
      <c r="AX393" s="39"/>
      <c r="AY393" s="293">
        <f t="shared" si="38"/>
        <v>8.333333333333337E-2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/>
      <c r="BN393" s="15"/>
      <c r="BO393" s="165"/>
      <c r="BP393" s="17"/>
      <c r="BQ393" s="13" t="str">
        <f t="shared" si="39"/>
        <v>Produção</v>
      </c>
      <c r="BR393" s="19">
        <f t="shared" si="40"/>
        <v>1.0000000000000004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1460</v>
      </c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1514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1514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1515</v>
      </c>
      <c r="BK400" s="17" t="s">
        <v>1516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1515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1517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1518</v>
      </c>
      <c r="BK401" s="17" t="s">
        <v>1518</v>
      </c>
      <c r="BL401" s="16"/>
      <c r="BM401" s="15"/>
      <c r="BN401" s="15"/>
      <c r="BO401" s="165"/>
      <c r="BP401" s="17"/>
      <c r="BQ401" s="13" t="str">
        <f t="shared" si="39"/>
        <v>Produção</v>
      </c>
      <c r="BR401" s="19">
        <f t="shared" si="40"/>
        <v>1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1519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1520</v>
      </c>
      <c r="BK402" s="17" t="s">
        <v>1520</v>
      </c>
      <c r="BL402" s="16"/>
      <c r="BM402" s="15"/>
      <c r="BN402" s="15"/>
      <c r="BO402" s="165"/>
      <c r="BP402" s="17"/>
      <c r="BQ402" s="13" t="str">
        <f t="shared" si="39"/>
        <v>Produção</v>
      </c>
      <c r="BR402" s="19">
        <f t="shared" si="40"/>
        <v>1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1521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1522</v>
      </c>
      <c r="BK403" s="17" t="s">
        <v>1522</v>
      </c>
      <c r="BL403" s="16"/>
      <c r="BM403" s="15"/>
      <c r="BN403" s="15"/>
      <c r="BO403" s="165"/>
      <c r="BP403" s="17"/>
      <c r="BQ403" s="13" t="str">
        <f t="shared" si="39"/>
        <v>Produção</v>
      </c>
      <c r="BR403" s="19">
        <f t="shared" si="40"/>
        <v>1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1523</v>
      </c>
      <c r="BK404" s="17" t="s">
        <v>1523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1523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1524</v>
      </c>
      <c r="BK405" s="17" t="s">
        <v>1525</v>
      </c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1526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1527</v>
      </c>
      <c r="BK406" s="17" t="s">
        <v>1528</v>
      </c>
      <c r="BL406" s="16"/>
      <c r="BM406" s="15"/>
      <c r="BN406" s="15"/>
      <c r="BO406" s="165"/>
      <c r="BP406" s="17"/>
      <c r="BQ406" s="13" t="str">
        <f t="shared" si="39"/>
        <v>Produção</v>
      </c>
      <c r="BR406" s="19">
        <f t="shared" si="40"/>
        <v>1.0000000000000004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1527</v>
      </c>
      <c r="BK407" s="17" t="s">
        <v>1528</v>
      </c>
      <c r="BL407" s="16"/>
      <c r="BM407" s="15"/>
      <c r="BN407" s="15"/>
      <c r="BO407" s="165"/>
      <c r="BP407" s="17"/>
      <c r="BQ407" s="13" t="str">
        <f t="shared" si="39"/>
        <v>Produção</v>
      </c>
      <c r="BR407" s="19">
        <f t="shared" si="40"/>
        <v>1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1527</v>
      </c>
      <c r="BK408" s="17" t="s">
        <v>1528</v>
      </c>
      <c r="BL408" s="16"/>
      <c r="BM408" s="15"/>
      <c r="BN408" s="15"/>
      <c r="BO408" s="165"/>
      <c r="BP408" s="17"/>
      <c r="BQ408" s="13" t="str">
        <f t="shared" si="39"/>
        <v>Produção</v>
      </c>
      <c r="BR408" s="19">
        <f t="shared" si="40"/>
        <v>1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1529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1530</v>
      </c>
      <c r="BK410" s="17" t="s">
        <v>1530</v>
      </c>
      <c r="BL410" s="16"/>
      <c r="BM410" s="15"/>
      <c r="BN410" s="15"/>
      <c r="BO410" s="165"/>
      <c r="BP410" s="17"/>
      <c r="BQ410" s="13" t="str">
        <f t="shared" si="39"/>
        <v>Produção</v>
      </c>
      <c r="BR410" s="19">
        <f t="shared" si="40"/>
        <v>1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1531</v>
      </c>
      <c r="BK411" s="17" t="s">
        <v>1532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1533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1504</v>
      </c>
      <c r="X415" s="218" t="s">
        <v>666</v>
      </c>
      <c r="Y415" s="158"/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/>
      <c r="AS415" s="39"/>
      <c r="AT415" s="39"/>
      <c r="AU415" s="39"/>
      <c r="AV415" s="39"/>
      <c r="AW415" s="39"/>
      <c r="AX415" s="39"/>
      <c r="AY415" s="293">
        <f t="shared" si="38"/>
        <v>0</v>
      </c>
      <c r="AZ415" s="14"/>
      <c r="BA415" s="72"/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Produção e Intervalo</v>
      </c>
      <c r="BR415" s="19">
        <f t="shared" si="40"/>
        <v>0</v>
      </c>
      <c r="BS415" s="19">
        <f t="shared" si="41"/>
        <v>0</v>
      </c>
      <c r="BT415" s="225" t="str">
        <f t="shared" si="42"/>
        <v/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214</v>
      </c>
      <c r="L416" s="217">
        <v>215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661</v>
      </c>
      <c r="Y416" s="158"/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ZST-ZXI</v>
      </c>
      <c r="AN416" s="258" t="str">
        <f>IF(BS_CONTROLE[[#This Row],[SB]]=0, "-", BS_CONTROLE[[#This Row],[SB]])</f>
        <v>ZST2162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214</v>
      </c>
      <c r="AQ416" s="260">
        <f>IF(BS_CONTROLE[[#This Row],[KM - Fim]]=0, "-", BS_CONTROLE[[#This Row],[KM - Fim]])</f>
        <v>215</v>
      </c>
      <c r="AR416" s="39"/>
      <c r="AS416" s="39"/>
      <c r="AT416" s="39"/>
      <c r="AU416" s="39"/>
      <c r="AV416" s="39"/>
      <c r="AW416" s="39"/>
      <c r="AX416" s="39"/>
      <c r="AY416" s="293">
        <f t="shared" si="38"/>
        <v>0</v>
      </c>
      <c r="AZ416" s="14"/>
      <c r="BA416" s="72"/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/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/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>
        <f t="shared" si="38"/>
        <v>0</v>
      </c>
      <c r="AZ417" s="14"/>
      <c r="BA417" s="72"/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Produção e Intervalo</v>
      </c>
      <c r="BR417" s="19">
        <f t="shared" si="40"/>
        <v>0</v>
      </c>
      <c r="BS417" s="19">
        <f t="shared" si="41"/>
        <v>0</v>
      </c>
      <c r="BT417" s="225" t="str">
        <f t="shared" si="42"/>
        <v/>
      </c>
    </row>
    <row r="418" spans="1:72" hidden="1">
      <c r="A418" s="51" t="str">
        <f t="shared" si="37"/>
        <v>ROGÉRIO (TP-730)46009</v>
      </c>
      <c r="B418" s="171">
        <v>46009</v>
      </c>
      <c r="C418" s="8">
        <f>IF(BS_CONTROLE[[#This Row],[DATA]]="","",WEEKNUM(BS_CONTROLE[[#This Row],[DATA]]))</f>
        <v>51</v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Produção e Intervalo</v>
      </c>
      <c r="BR418" s="19">
        <f t="shared" si="40"/>
        <v>0</v>
      </c>
      <c r="BS418" s="19">
        <f t="shared" si="41"/>
        <v>0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/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>
        <f t="shared" si="38"/>
        <v>0</v>
      </c>
      <c r="AZ419" s="14"/>
      <c r="BA419" s="72"/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/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>
        <f t="shared" si="38"/>
        <v>0</v>
      </c>
      <c r="AZ420" s="14"/>
      <c r="BA420" s="72"/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/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/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>
        <f t="shared" si="38"/>
        <v>0</v>
      </c>
      <c r="AZ421" s="14"/>
      <c r="BA421" s="72"/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/>
      </c>
    </row>
    <row r="422" spans="1:72" hidden="1">
      <c r="A422" s="51" t="str">
        <f t="shared" si="37"/>
        <v>CARLOS (TP-722)</v>
      </c>
      <c r="B422" s="171"/>
      <c r="C422" s="8" t="str">
        <f>IF(BS_CONTROLE[[#This Row],[DATA]]="","",WEEKNUM(BS_CONTROLE[[#This Row],[DATA]]))</f>
        <v/>
      </c>
      <c r="D422" s="52" t="s">
        <v>572</v>
      </c>
      <c r="E422" s="294">
        <v>364</v>
      </c>
      <c r="F422" s="172" t="s">
        <v>498</v>
      </c>
      <c r="G422" s="9" t="str">
        <f>IF(D422="","*",VLOOKUP(F422,BS_ATIVIDADE[#All],3,FALSE))</f>
        <v>SOLDA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1</v>
      </c>
      <c r="R422" s="10" t="str">
        <f>IFERROR(_xlfn.XLOOKUP(F422, BS_ATIVIDADE[ATIVIDADE],BS_ATIVIDADE[UNIDADE] ), "*")</f>
        <v>Nº DE SOLDA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/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SOLDA</v>
      </c>
      <c r="AJ422" s="9" t="str">
        <f>IF(D422="","*",VLOOKUP(AI422,BS_ATIVIDADE[#Data],3,FALSE))</f>
        <v>SOLDA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>
        <f t="shared" si="38"/>
        <v>0</v>
      </c>
      <c r="AZ422" s="14"/>
      <c r="BA422" s="72"/>
      <c r="BB422" s="10" t="str">
        <f>IFERROR(_xlfn.XLOOKUP(AI422, BS_ATIVIDADE[ATIVIDADE],BS_ATIVIDADE[UNIDADE] ), "*")</f>
        <v>Nº DE SOLDA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1534</v>
      </c>
      <c r="X425" s="218" t="s">
        <v>666</v>
      </c>
      <c r="Y425" s="158"/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/>
      <c r="AS425" s="39"/>
      <c r="AT425" s="39"/>
      <c r="AU425" s="39"/>
      <c r="AV425" s="39"/>
      <c r="AW425" s="39"/>
      <c r="AX425" s="39"/>
      <c r="AY425" s="293">
        <f t="shared" si="38"/>
        <v>0</v>
      </c>
      <c r="AZ425" s="14"/>
      <c r="BA425" s="72"/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/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/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/>
      <c r="AS426" s="39"/>
      <c r="AT426" s="39"/>
      <c r="AU426" s="39"/>
      <c r="AV426" s="39"/>
      <c r="AW426" s="39"/>
      <c r="AX426" s="39"/>
      <c r="AY426" s="293">
        <f t="shared" si="38"/>
        <v>0</v>
      </c>
      <c r="AZ426" s="14"/>
      <c r="BA426" s="72"/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/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/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>
        <f t="shared" si="38"/>
        <v>0</v>
      </c>
      <c r="AZ427" s="14"/>
      <c r="BA427" s="72"/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/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/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/>
      <c r="AS428" s="39"/>
      <c r="AT428" s="39"/>
      <c r="AU428" s="39"/>
      <c r="AV428" s="39"/>
      <c r="AW428" s="39"/>
      <c r="AX428" s="39"/>
      <c r="AY428" s="293">
        <f t="shared" si="38"/>
        <v>0</v>
      </c>
      <c r="AZ428" s="14"/>
      <c r="BA428" s="72"/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/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/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>
        <f t="shared" si="38"/>
        <v>0</v>
      </c>
      <c r="AZ429" s="14"/>
      <c r="BA429" s="72"/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/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/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/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/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/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>
        <f t="shared" si="44"/>
        <v>0</v>
      </c>
      <c r="AZ431" s="14"/>
      <c r="BA431" s="72"/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/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/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>
        <f t="shared" si="44"/>
        <v>0</v>
      </c>
      <c r="AZ432" s="14"/>
      <c r="BA432" s="72"/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/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>
        <f t="shared" si="44"/>
        <v>0</v>
      </c>
      <c r="AZ435" s="14"/>
      <c r="BA435" s="72"/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/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>
        <f t="shared" si="44"/>
        <v>0</v>
      </c>
      <c r="AZ437" s="14"/>
      <c r="BA437" s="72"/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/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1535</v>
      </c>
      <c r="X439" s="218" t="s">
        <v>666</v>
      </c>
      <c r="Y439" s="158"/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/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EDSON (TP-719)46009</v>
      </c>
      <c r="B440" s="171">
        <v>46009</v>
      </c>
      <c r="C440" s="8">
        <f>IF(BS_CONTROLE[[#This Row],[DATA]]="","",WEEKNUM(BS_CONTROLE[[#This Row],[DATA]]))</f>
        <v>51</v>
      </c>
      <c r="D440" s="52" t="s">
        <v>586</v>
      </c>
      <c r="E440" s="294">
        <v>434</v>
      </c>
      <c r="F440" s="172" t="s">
        <v>468</v>
      </c>
      <c r="G440" s="9" t="str">
        <f>IF(D440="","*",VLOOKUP(F440,BS_ATIVIDADE[#All],3,FALSE))</f>
        <v>ALÍVIO</v>
      </c>
      <c r="H440" s="173" t="s">
        <v>317</v>
      </c>
      <c r="I440" s="173" t="s">
        <v>317</v>
      </c>
      <c r="J440" s="217">
        <v>92</v>
      </c>
      <c r="K440" s="217">
        <v>101.7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0" s="173">
        <v>0.41666666666666669</v>
      </c>
      <c r="P440" s="173">
        <v>6.25E-2</v>
      </c>
      <c r="Q440" s="84">
        <v>200</v>
      </c>
      <c r="R440" s="10" t="str">
        <f>IFERROR(_xlfn.XLOOKUP(F440, BS_ATIVIDADE[ATIVIDADE],BS_ATIVIDADE[UNIDADE] ), "*")</f>
        <v>M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1026</v>
      </c>
      <c r="X440" s="218" t="s">
        <v>666</v>
      </c>
      <c r="Y440" s="158"/>
      <c r="Z440" s="158"/>
      <c r="AA440" s="84" t="s">
        <v>317</v>
      </c>
      <c r="AB440" s="71" t="s">
        <v>317</v>
      </c>
      <c r="AC440" s="71" t="s">
        <v>317</v>
      </c>
      <c r="AD440" s="173" t="s">
        <v>317</v>
      </c>
      <c r="AE440" s="84" t="s">
        <v>317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PDM - ALÍVIO DE TENSÃO</v>
      </c>
      <c r="AJ440" s="9" t="str">
        <f>IF(D440="","*",VLOOKUP(AI440,BS_ATIVIDADE[#Data],3,FALSE))</f>
        <v>ALÍVIO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ZGP-ZWU</v>
      </c>
      <c r="AN440" s="258" t="str">
        <f>IF(BS_CONTROLE[[#This Row],[SB]]=0, "-", BS_CONTROLE[[#This Row],[SB]])</f>
        <v>ZGP1002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101.7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M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Produção e Intervalo</v>
      </c>
      <c r="BR440" s="19">
        <f t="shared" si="46"/>
        <v>0</v>
      </c>
      <c r="BS440" s="19">
        <f t="shared" si="47"/>
        <v>0</v>
      </c>
      <c r="BT440" s="225" t="str">
        <f t="shared" si="48"/>
        <v/>
      </c>
    </row>
    <row r="441" spans="1:72" hidden="1">
      <c r="A441" s="51" t="str">
        <f t="shared" si="43"/>
        <v>LEANDRO (TP-727)46009</v>
      </c>
      <c r="B441" s="171">
        <v>46009</v>
      </c>
      <c r="C441" s="8">
        <f>IF(BS_CONTROLE[[#This Row],[DATA]]="","",WEEKNUM(BS_CONTROLE[[#This Row],[DATA]]))</f>
        <v>51</v>
      </c>
      <c r="D441" s="52" t="s">
        <v>618</v>
      </c>
      <c r="E441" s="294">
        <v>435</v>
      </c>
      <c r="F441" s="172" t="s">
        <v>505</v>
      </c>
      <c r="G441" s="9" t="str">
        <f>IF(D441="","*",VLOOKUP(F441,BS_ATIVIDADE[#All],3,FALSE))</f>
        <v>TRILHO - SUBSTITUIÇÂO</v>
      </c>
      <c r="H441" s="173" t="s">
        <v>317</v>
      </c>
      <c r="I441" s="173" t="s">
        <v>317</v>
      </c>
      <c r="J441" s="217">
        <v>54</v>
      </c>
      <c r="K441" s="217">
        <v>106.5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1" s="173">
        <v>0.375</v>
      </c>
      <c r="P441" s="173">
        <v>0.125</v>
      </c>
      <c r="Q441" s="84">
        <v>300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ZEV</v>
      </c>
      <c r="V441" s="198" t="s">
        <v>967</v>
      </c>
      <c r="W441" s="173" t="s">
        <v>1488</v>
      </c>
      <c r="X441" s="218" t="s">
        <v>666</v>
      </c>
      <c r="Y441" s="158"/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SUBSTITUIÇÃO - TRILHO</v>
      </c>
      <c r="AJ441" s="9" t="str">
        <f>IF(D441="","*",VLOOKUP(AI441,BS_ATIVIDADE[#Data],3,FALSE))</f>
        <v>TRILHO - SUBSTITUIÇÂO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ZPT</v>
      </c>
      <c r="AN441" s="258" t="str">
        <f>IF(BS_CONTROLE[[#This Row],[SB]]=0, "-", BS_CONTROLE[[#This Row],[SB]])</f>
        <v>ZDR1</v>
      </c>
      <c r="AO441" s="259">
        <f>IF(BS_CONTROLE[[#This Row],[SUB]]=0, "-", BS_CONTROLE[[#This Row],[SUB]])</f>
        <v>54</v>
      </c>
      <c r="AP441" s="260">
        <f>IF(BS_CONTROLE[[#This Row],[KM - Inicio]]=0, "-", BS_CONTROLE[[#This Row],[KM - Inicio]])</f>
        <v>106.5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>
        <f t="shared" si="44"/>
        <v>0</v>
      </c>
      <c r="AZ441" s="14"/>
      <c r="BA441" s="72"/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ZEV</v>
      </c>
      <c r="BF441" s="261" t="str">
        <f>IF(BS_CONTROLE[[#This Row],[Responsavel pelo boletim]]=0, "-", BS_CONTROLE[[#This Row],[Responsavel pelo boletim]])</f>
        <v>Moises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/>
      </c>
    </row>
    <row r="442" spans="1:72" hidden="1">
      <c r="A442" s="51" t="str">
        <f t="shared" si="43"/>
        <v>V8546009</v>
      </c>
      <c r="B442" s="171">
        <v>46009</v>
      </c>
      <c r="C442" s="8">
        <f>IF(BS_CONTROLE[[#This Row],[DATA]]="","",WEEKNUM(BS_CONTROLE[[#This Row],[DATA]]))</f>
        <v>51</v>
      </c>
      <c r="D442" s="52" t="s">
        <v>512</v>
      </c>
      <c r="E442" s="294">
        <v>355</v>
      </c>
      <c r="F442" s="172" t="s">
        <v>421</v>
      </c>
      <c r="G442" s="9" t="str">
        <f>IF(D442="","*",VLOOKUP(F442,BS_ATIVIDADE[#All],3,FALSE))</f>
        <v>MECANIZAÇÃO - SOCADORA</v>
      </c>
      <c r="H442" s="173" t="s">
        <v>987</v>
      </c>
      <c r="I442" s="173" t="s">
        <v>955</v>
      </c>
      <c r="J442" s="217">
        <v>53</v>
      </c>
      <c r="K442" s="217">
        <v>114.3</v>
      </c>
      <c r="L442" s="217">
        <v>115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2" s="173">
        <v>0.35416666666666669</v>
      </c>
      <c r="P442" s="173">
        <v>6.25E-2</v>
      </c>
      <c r="Q442" s="217">
        <v>700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2" s="81" t="str">
        <f>IFERROR(_xlfn.XLOOKUP(J442, BASE_MAPA!$D$2:$D$260, BASE_MAPA!$I$2:$I$260), "ERRO")</f>
        <v>PAT-ZGM</v>
      </c>
      <c r="V442" s="198" t="s">
        <v>928</v>
      </c>
      <c r="W442" s="261" t="s">
        <v>1097</v>
      </c>
      <c r="X442" s="218" t="s">
        <v>666</v>
      </c>
      <c r="Y442" s="158"/>
      <c r="Z442" s="158"/>
      <c r="AA442" s="84">
        <v>1</v>
      </c>
      <c r="AB442" s="71" t="s">
        <v>657</v>
      </c>
      <c r="AC442" s="71" t="s">
        <v>652</v>
      </c>
      <c r="AD442" s="173">
        <v>0.33333333333333331</v>
      </c>
      <c r="AE442" s="84">
        <v>6235</v>
      </c>
      <c r="AF442" s="84">
        <v>6215</v>
      </c>
      <c r="AG442" s="84" t="s">
        <v>317</v>
      </c>
      <c r="AH442" s="49"/>
      <c r="AI442" s="142" t="str">
        <f>IF(BS_CONTROLE[[#This Row],[Atividade]]=0, "-", BS_CONTROLE[[#This Row],[Atividade]])</f>
        <v>MECANIZAÇÃO - SOCADORA</v>
      </c>
      <c r="AJ442" s="9" t="str">
        <f>IF(D442="","*",VLOOKUP(AI442,BS_ATIVIDADE[#Data],3,FALSE))</f>
        <v>MECANIZAÇÃO - SOCADORA</v>
      </c>
      <c r="AK442" s="258" t="str">
        <f>IF(BS_CONTROLE[[#This Row],[Local - Partida]]=0, "-", BS_CONTROLE[[#This Row],[Local - Partida]])</f>
        <v>109ZPT2</v>
      </c>
      <c r="AL442" s="258" t="str">
        <f>IF(BS_CONTROLE[[#This Row],[Local - Encerramento]]=0, "-", BS_CONTROLE[[#This Row],[Local - Encerramento]])</f>
        <v>ZPTZDR</v>
      </c>
      <c r="AM442" s="258" t="str">
        <f>IF(BS_CONTROLE[[#This Row],[Entre - Estações]]=0, "-", BS_CONTROLE[[#This Row],[Entre - Estações]])</f>
        <v>ZGM-109</v>
      </c>
      <c r="AN442" s="258" t="str">
        <f>IF(BS_CONTROLE[[#This Row],[SB]]=0, "-", BS_CONTROLE[[#This Row],[SB]])</f>
        <v>ZGM2</v>
      </c>
      <c r="AO442" s="259">
        <f>IF(BS_CONTROLE[[#This Row],[SUB]]=0, "-", BS_CONTROLE[[#This Row],[SUB]])</f>
        <v>53</v>
      </c>
      <c r="AP442" s="260">
        <f>IF(BS_CONTROLE[[#This Row],[KM - Inicio]]=0, "-", BS_CONTROLE[[#This Row],[KM - Inicio]])</f>
        <v>114.3</v>
      </c>
      <c r="AQ442" s="260">
        <f>IF(BS_CONTROLE[[#This Row],[KM - Fim]]=0, "-", BS_CONTROLE[[#This Row],[KM - Fim]])</f>
        <v>115</v>
      </c>
      <c r="AR442" s="39"/>
      <c r="AS442" s="39"/>
      <c r="AT442" s="39"/>
      <c r="AU442" s="39"/>
      <c r="AV442" s="39"/>
      <c r="AW442" s="39"/>
      <c r="AX442" s="39"/>
      <c r="AY442" s="293">
        <f t="shared" si="44"/>
        <v>0</v>
      </c>
      <c r="AZ442" s="14"/>
      <c r="BA442" s="72"/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2" s="11" t="str">
        <f>IFERROR(_xlfn.XLOOKUP(AO442, BASE_MAPA!$D$2:$D$260, BASE_MAPA!$I$2:$I$260), "ERRO")</f>
        <v>PAT-ZGM</v>
      </c>
      <c r="BF442" s="261" t="str">
        <f>IF(BS_CONTROLE[[#This Row],[Responsavel pelo boletim]]=0, "-", BS_CONTROLE[[#This Row],[Responsavel pelo boletim]])</f>
        <v>Saulo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/>
      </c>
    </row>
    <row r="443" spans="1:72" hidden="1">
      <c r="A443" s="51" t="str">
        <f t="shared" si="43"/>
        <v>DIEGO (TF-42)46009</v>
      </c>
      <c r="B443" s="171">
        <v>46009</v>
      </c>
      <c r="C443" s="8">
        <f>IF(BS_CONTROLE[[#This Row],[DATA]]="","",WEEKNUM(BS_CONTROLE[[#This Row],[DATA]]))</f>
        <v>51</v>
      </c>
      <c r="D443" s="52" t="s">
        <v>581</v>
      </c>
      <c r="E443" s="314">
        <v>46</v>
      </c>
      <c r="F443" s="172" t="s">
        <v>992</v>
      </c>
      <c r="G443" s="9" t="e">
        <f>IF(D443="","*",VLOOKUP(F443,BS_ATIVIDADE[#All],3,FALSE))</f>
        <v>#N/A</v>
      </c>
      <c r="H443" s="173" t="s">
        <v>317</v>
      </c>
      <c r="I443" s="173" t="s">
        <v>317</v>
      </c>
      <c r="J443" s="217">
        <v>53</v>
      </c>
      <c r="K443" s="217">
        <v>115.5</v>
      </c>
      <c r="L443" s="84" t="s">
        <v>317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3" s="173">
        <v>0.45833333333333331</v>
      </c>
      <c r="P443" s="173">
        <v>8.3333333333333329E-2</v>
      </c>
      <c r="Q443" s="84">
        <v>15</v>
      </c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261" t="s">
        <v>962</v>
      </c>
      <c r="W443" s="173" t="s">
        <v>932</v>
      </c>
      <c r="X443" s="218" t="s">
        <v>666</v>
      </c>
      <c r="Y443" s="158"/>
      <c r="Z443" s="158"/>
      <c r="AA443" s="84" t="s">
        <v>317</v>
      </c>
      <c r="AB443" s="71" t="s">
        <v>317</v>
      </c>
      <c r="AC443" s="71" t="s">
        <v>317</v>
      </c>
      <c r="AD443" s="173" t="s">
        <v>317</v>
      </c>
      <c r="AE443" s="84" t="s">
        <v>317</v>
      </c>
      <c r="AF443" s="84" t="s">
        <v>317</v>
      </c>
      <c r="AG443" s="84" t="s">
        <v>317</v>
      </c>
      <c r="AH443" s="49"/>
      <c r="AI443" s="142" t="str">
        <f>IF(BS_CONTROLE[[#This Row],[Atividade]]=0, "-", BS_CONTROLE[[#This Row],[Atividade]])</f>
        <v>LIMPEZA LASTRO</v>
      </c>
      <c r="AJ443" s="9" t="e">
        <f>IF(D443="","*",VLOOKUP(AI443,BS_ATIVIDADE[#Data],3,FALSE))</f>
        <v>#N/A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117ZGM2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115.5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>
        <f t="shared" si="44"/>
        <v>0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Moisés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04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0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04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04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04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04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04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04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1 O443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X415:Y422 V415:W415 V417:V418 V419:W419 V420:V421 V422:W422 V423:Y441 V444:Y451 X442:Y443 V443:W44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2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2:Q442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 AB432:AC43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1536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1537</v>
      </c>
      <c r="C4" s="331" t="s">
        <v>1538</v>
      </c>
      <c r="D4" s="331" t="s">
        <v>1539</v>
      </c>
      <c r="E4" s="331" t="s">
        <v>1540</v>
      </c>
      <c r="F4" s="331" t="s">
        <v>8</v>
      </c>
      <c r="G4" s="331" t="s">
        <v>1541</v>
      </c>
    </row>
    <row r="5" spans="2:8">
      <c r="B5" s="334" t="s">
        <v>1152</v>
      </c>
      <c r="C5" s="334">
        <v>314978</v>
      </c>
      <c r="D5" s="334" t="s">
        <v>1542</v>
      </c>
      <c r="E5" s="334" t="s">
        <v>539</v>
      </c>
      <c r="F5" s="334" t="s">
        <v>101</v>
      </c>
      <c r="G5" s="335">
        <v>46143</v>
      </c>
    </row>
    <row r="6" spans="2:8">
      <c r="B6" s="334" t="s">
        <v>1543</v>
      </c>
      <c r="C6" s="334">
        <v>256790</v>
      </c>
      <c r="D6" s="334" t="s">
        <v>1544</v>
      </c>
      <c r="E6" s="334" t="s">
        <v>539</v>
      </c>
      <c r="F6" s="334" t="s">
        <v>1545</v>
      </c>
      <c r="G6" s="335">
        <v>45992</v>
      </c>
    </row>
    <row r="7" spans="2:8">
      <c r="B7" s="334" t="s">
        <v>1546</v>
      </c>
      <c r="C7" s="334">
        <v>265193</v>
      </c>
      <c r="D7" s="334" t="s">
        <v>1547</v>
      </c>
      <c r="E7" s="334" t="s">
        <v>540</v>
      </c>
      <c r="F7" s="334" t="s">
        <v>1499</v>
      </c>
      <c r="G7" s="334" t="s">
        <v>1548</v>
      </c>
    </row>
    <row r="8" spans="2:8">
      <c r="B8" s="334" t="s">
        <v>1549</v>
      </c>
      <c r="C8" s="334">
        <v>293716</v>
      </c>
      <c r="D8" s="334" t="s">
        <v>1550</v>
      </c>
      <c r="E8" s="334" t="s">
        <v>540</v>
      </c>
      <c r="F8" s="334" t="s">
        <v>1499</v>
      </c>
      <c r="G8" s="335">
        <v>46204</v>
      </c>
    </row>
    <row r="9" spans="2:8">
      <c r="B9" s="334" t="s">
        <v>1551</v>
      </c>
      <c r="C9" s="334">
        <v>257258</v>
      </c>
      <c r="D9" s="334" t="s">
        <v>1552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1553</v>
      </c>
      <c r="C10" s="334">
        <v>371147</v>
      </c>
      <c r="D10" s="334" t="s">
        <v>1554</v>
      </c>
      <c r="E10" s="334" t="s">
        <v>541</v>
      </c>
      <c r="F10" s="334" t="s">
        <v>144</v>
      </c>
      <c r="G10" s="334" t="s">
        <v>1548</v>
      </c>
    </row>
    <row r="11" spans="2:8">
      <c r="B11" s="334" t="s">
        <v>1555</v>
      </c>
      <c r="C11" s="334">
        <v>259230</v>
      </c>
      <c r="D11" s="334" t="s">
        <v>1556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1557</v>
      </c>
      <c r="C12" s="334">
        <v>370705</v>
      </c>
      <c r="D12" s="334"/>
      <c r="E12" s="334" t="s">
        <v>541</v>
      </c>
      <c r="F12" s="334" t="s">
        <v>144</v>
      </c>
      <c r="G12" s="334" t="s">
        <v>1548</v>
      </c>
    </row>
    <row r="13" spans="2:8">
      <c r="B13" s="334" t="s">
        <v>1558</v>
      </c>
      <c r="C13" s="334">
        <v>258542</v>
      </c>
      <c r="D13" s="334" t="s">
        <v>1559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1560</v>
      </c>
      <c r="C14" s="334">
        <v>257050</v>
      </c>
      <c r="D14" s="334" t="s">
        <v>1561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1562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1563</v>
      </c>
      <c r="E3" s="326" t="s">
        <v>1564</v>
      </c>
      <c r="F3" s="326" t="s">
        <v>1565</v>
      </c>
      <c r="G3" s="331" t="s">
        <v>1566</v>
      </c>
      <c r="H3" s="326" t="s">
        <v>1567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1568</v>
      </c>
      <c r="H4" s="329"/>
    </row>
    <row r="5" spans="3:8" ht="29.25">
      <c r="C5" s="327" t="s">
        <v>539</v>
      </c>
      <c r="D5" s="327" t="s">
        <v>1569</v>
      </c>
      <c r="E5" s="328">
        <v>46000</v>
      </c>
      <c r="F5" s="327">
        <v>9000</v>
      </c>
      <c r="G5" s="332" t="s">
        <v>1570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1571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1572</v>
      </c>
      <c r="G7" s="333" t="s">
        <v>1573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1574</v>
      </c>
      <c r="G8" s="332" t="s">
        <v>1575</v>
      </c>
      <c r="H8" s="327" t="s">
        <v>1576</v>
      </c>
    </row>
    <row r="9" spans="3:8">
      <c r="C9" s="327" t="s">
        <v>463</v>
      </c>
      <c r="D9" s="327" t="s">
        <v>1577</v>
      </c>
      <c r="E9" s="328">
        <v>45993</v>
      </c>
      <c r="F9" s="327">
        <v>12000</v>
      </c>
      <c r="G9" s="332" t="s">
        <v>1578</v>
      </c>
      <c r="H9" s="327"/>
    </row>
    <row r="10" spans="3:8" ht="29.25">
      <c r="C10" s="327" t="s">
        <v>463</v>
      </c>
      <c r="D10" s="327" t="s">
        <v>1579</v>
      </c>
      <c r="E10" s="328">
        <v>45993</v>
      </c>
      <c r="F10" s="327">
        <v>9000</v>
      </c>
      <c r="G10" s="332" t="s">
        <v>1580</v>
      </c>
      <c r="H10" s="327"/>
    </row>
    <row r="11" spans="3:8" ht="29.25">
      <c r="C11" s="327" t="s">
        <v>463</v>
      </c>
      <c r="D11" s="327" t="s">
        <v>1581</v>
      </c>
      <c r="E11" s="328">
        <v>45993</v>
      </c>
      <c r="F11" s="327">
        <v>10000</v>
      </c>
      <c r="G11" s="332" t="s">
        <v>1580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1582</v>
      </c>
      <c r="H12" s="327" t="s">
        <v>1576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1583</v>
      </c>
      <c r="W1" s="397"/>
      <c r="X1" s="397"/>
      <c r="Y1" s="104"/>
    </row>
    <row r="2" spans="1:25" s="101" customFormat="1" ht="11.25" customHeight="1">
      <c r="A2" s="105" t="s">
        <v>1584</v>
      </c>
      <c r="B2" s="105" t="s">
        <v>1585</v>
      </c>
      <c r="C2" s="105" t="s">
        <v>313</v>
      </c>
      <c r="D2" s="106" t="s">
        <v>873</v>
      </c>
      <c r="E2" s="106" t="s">
        <v>874</v>
      </c>
      <c r="F2" s="106" t="s">
        <v>1586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1587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</v>
      </c>
      <c r="V413" s="112">
        <f ca="1">_xlfn.XLOOKUP(G413&amp;$V$2,BS_CONTROLE[CHAVE],BS_CONTROLE[Quantidade_11],"-")</f>
        <v>400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Contrato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ZST-ZXI</v>
      </c>
      <c r="L414" s="339" t="str">
        <f>IF(SP_SUL!N416="","*",SP_SUL!N416)</f>
        <v>ZST2162</v>
      </c>
      <c r="M414" s="111">
        <f>IF(SP_SUL!J416="","*",SP_SUL!J416)</f>
        <v>56</v>
      </c>
      <c r="N414" s="270">
        <f>IF(SP_SUL!K416="","*",SP_SUL!K416)</f>
        <v>214</v>
      </c>
      <c r="O414" s="270">
        <f>IF(SP_SUL!L416="","*",SP_SUL!L416)</f>
        <v>215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15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>
        <f>IF(SP_SUL!B418="","*",SP_SUL!B418)</f>
        <v>46009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40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19</v>
      </c>
      <c r="W417" s="112">
        <f ca="1">_xlfn.XLOOKUP(G417&amp;$W$2,BS_CONTROLE[CHAVE],BS_CONTROLE[Quantidade_11],"-")</f>
        <v>0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 t="str">
        <f>IF(SP_SUL!B422="","*",SP_SUL!B422)</f>
        <v>*</v>
      </c>
      <c r="G420" s="110" t="str">
        <f>IF(SP_SUL!D422="","*",SP_SUL!D422)</f>
        <v>CARLOS (TP-722)</v>
      </c>
      <c r="H420" s="110" t="str">
        <f>IF(SP_SUL!F422="","*",SP_SUL!F422)</f>
        <v>PDM - SOLDA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1 Nº DE SOLDA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1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>
        <f ca="1">_xlfn.XLOOKUP(G426&amp;$W$2,BS_CONTROLE[CHAVE],BS_CONTROLE[Quantidade_11],"-")</f>
        <v>1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>
        <f ca="1">_xlfn.XLOOKUP(G427&amp;$W$2,BS_CONTROLE[CHAVE],BS_CONTROLE[Quantidade_11],"-")</f>
        <v>1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>
        <f ca="1">_xlfn.XLOOKUP(G428&amp;$W$2,BS_CONTROLE[CHAVE],BS_CONTROLE[Quantidade_11],"-")</f>
        <v>1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430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1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>
        <f>IF(SP_SUL!B440="","*",SP_SUL!B440)</f>
        <v>46009</v>
      </c>
      <c r="G438" s="110" t="str">
        <f>IF(SP_SUL!D440="","*",SP_SUL!D440)</f>
        <v>EDSON (TP-719)</v>
      </c>
      <c r="H438" s="110" t="str">
        <f>IF(SP_SUL!F440="","*",SP_SUL!F440)</f>
        <v>PDM - ALÍVIO DE TENSÃO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ZGP-ZWU</v>
      </c>
      <c r="L438" s="339" t="str">
        <f>IF(SP_SUL!N440="","*",SP_SUL!N440)</f>
        <v>ZGP1002</v>
      </c>
      <c r="M438" s="111">
        <f>IF(SP_SUL!J440="","*",SP_SUL!J440)</f>
        <v>92</v>
      </c>
      <c r="N438" s="270">
        <f>IF(SP_SUL!K440="","*",SP_SUL!K440)</f>
        <v>101.7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200 M</v>
      </c>
      <c r="T438" s="110" t="str">
        <f>IF(SP_SUL!V440="","*",SP_SUL!V440)</f>
        <v>Moisés</v>
      </c>
      <c r="U438" s="110" t="str">
        <f>IF(SP_SUL!W440="","*",SP_SUL!W440)</f>
        <v>Alívio de tensão</v>
      </c>
      <c r="V438" s="112" t="str">
        <f ca="1">_xlfn.XLOOKUP(G438&amp;$V$2,BS_CONTROLE[CHAVE],BS_CONTROLE[Quantidade_11],"-")</f>
        <v>-</v>
      </c>
      <c r="W438" s="112">
        <f ca="1">_xlfn.XLOOKUP(G438&amp;$W$2,BS_CONTROLE[CHAVE],BS_CONTROLE[Quantidade_11],"-")</f>
        <v>0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LEANDRO (TP-727)</v>
      </c>
      <c r="H439" s="110" t="str">
        <f>IF(SP_SUL!F441="","*",SP_SUL!F441)</f>
        <v>PDM - SUBSTITUIÇÃO - TRILHO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ZPT</v>
      </c>
      <c r="L439" s="339" t="str">
        <f>IF(SP_SUL!N441="","*",SP_SUL!N441)</f>
        <v>ZDR1</v>
      </c>
      <c r="M439" s="111">
        <f>IF(SP_SUL!J441="","*",SP_SUL!J441)</f>
        <v>54</v>
      </c>
      <c r="N439" s="270">
        <f>IF(SP_SUL!K441="","*",SP_SUL!K441)</f>
        <v>106.5</v>
      </c>
      <c r="O439" s="270" t="str">
        <f>IF(SP_SUL!L441="","*",SP_SUL!L441)</f>
        <v>-</v>
      </c>
      <c r="P439" s="111"/>
      <c r="Q439" s="128">
        <f>IF(SP_SUL!O441="","*",SP_SUL!O441)</f>
        <v>0.375</v>
      </c>
      <c r="R439" s="128">
        <f>IF(SP_SUL!P441="","*",SP_SUL!P441)</f>
        <v>0.125</v>
      </c>
      <c r="S439" s="110" t="str">
        <f>IF(SP_SUL!Q441="","*",CONCATENATE(SP_SUL!Q441," ",SP_SUL!R441))</f>
        <v>300 M</v>
      </c>
      <c r="T439" s="110" t="str">
        <f>IF(SP_SUL!V441="","*",SP_SUL!V441)</f>
        <v>Moises</v>
      </c>
      <c r="U439" s="110" t="str">
        <f>IF(SP_SUL!W441="","*",SP_SUL!W441)</f>
        <v>Substituição de trilho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ZPT-ZPG</v>
      </c>
      <c r="F440" s="110">
        <f>IF(SP_SUL!B442="","*",SP_SUL!B442)</f>
        <v>46009</v>
      </c>
      <c r="G440" s="110" t="str">
        <f>IF(SP_SUL!D442="","*",SP_SUL!D442)</f>
        <v>V85</v>
      </c>
      <c r="H440" s="110" t="str">
        <f>IF(SP_SUL!F442="","*",SP_SUL!F442)</f>
        <v>MECANIZAÇÃO - SOCADORA</v>
      </c>
      <c r="I440" s="110" t="str">
        <f>IF(SP_SUL!H442="","*",SP_SUL!H442)</f>
        <v>109ZPT2</v>
      </c>
      <c r="J440" s="110" t="str">
        <f>IF(SP_SUL!I442="","*",SP_SUL!I442)</f>
        <v>ZPTZDR</v>
      </c>
      <c r="K440" s="110" t="str">
        <f>IF(SP_SUL!M442="","*",SP_SUL!M442)</f>
        <v>ZGM-109</v>
      </c>
      <c r="L440" s="339" t="str">
        <f>IF(SP_SUL!N442="","*",SP_SUL!N442)</f>
        <v>ZGM2</v>
      </c>
      <c r="M440" s="111">
        <f>IF(SP_SUL!J442="","*",SP_SUL!J442)</f>
        <v>53</v>
      </c>
      <c r="N440" s="270">
        <f>IF(SP_SUL!K442="","*",SP_SUL!K442)</f>
        <v>114.3</v>
      </c>
      <c r="O440" s="270">
        <f>IF(SP_SUL!L442="","*",SP_SUL!L442)</f>
        <v>115</v>
      </c>
      <c r="P440" s="111"/>
      <c r="Q440" s="128">
        <f>IF(SP_SUL!O442="","*",SP_SUL!O442)</f>
        <v>0.35416666666666669</v>
      </c>
      <c r="R440" s="128">
        <f>IF(SP_SUL!P442="","*",SP_SUL!P442)</f>
        <v>6.25E-2</v>
      </c>
      <c r="S440" s="110" t="str">
        <f>IF(SP_SUL!Q442="","*",CONCATENATE(SP_SUL!Q442," ",SP_SUL!R442))</f>
        <v>700 M</v>
      </c>
      <c r="T440" s="110" t="str">
        <f>IF(SP_SUL!V442="","*",SP_SUL!V442)</f>
        <v>Saulo</v>
      </c>
      <c r="U440" s="110" t="str">
        <f>IF(SP_SUL!W442="","*",SP_SUL!W442)</f>
        <v>Serviços de socaria mecanizada</v>
      </c>
      <c r="V440" s="112">
        <f ca="1">_xlfn.XLOOKUP(G440&amp;$V$2,BS_CONTROLE[CHAVE],BS_CONTROLE[Quantidade_11],"-")</f>
        <v>0</v>
      </c>
      <c r="W440" s="112">
        <f ca="1">_xlfn.XLOOKUP(G440&amp;$W$2,BS_CONTROLE[CHAVE],BS_CONTROLE[Quantidade_11],"-")</f>
        <v>400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DIEGO (TF-42)</v>
      </c>
      <c r="H441" s="110" t="str">
        <f>IF(SP_SUL!F443="","*",SP_SUL!F443)</f>
        <v>LIMPEZA LASTRO</v>
      </c>
      <c r="I441" s="110" t="str">
        <f>IF(SP_SUL!H443="","*",SP_SUL!H443)</f>
        <v>-</v>
      </c>
      <c r="J441" s="110" t="str">
        <f>IF(SP_SUL!I443="","*",SP_SUL!I443)</f>
        <v>-</v>
      </c>
      <c r="K441" s="110" t="str">
        <f>IF(SP_SUL!M443="","*",SP_SUL!M443)</f>
        <v>ZGM-109</v>
      </c>
      <c r="L441" s="339" t="str">
        <f>IF(SP_SUL!N443="","*",SP_SUL!N443)</f>
        <v>117ZGM2</v>
      </c>
      <c r="M441" s="111">
        <f>IF(SP_SUL!J443="","*",SP_SUL!J443)</f>
        <v>53</v>
      </c>
      <c r="N441" s="270">
        <f>IF(SP_SUL!K443="","*",SP_SUL!K443)</f>
        <v>115.5</v>
      </c>
      <c r="O441" s="270" t="str">
        <f>IF(SP_SUL!L443="","*",SP_SUL!L443)</f>
        <v>-</v>
      </c>
      <c r="P441" s="111"/>
      <c r="Q441" s="128">
        <f>IF(SP_SUL!O443="","*",SP_SUL!O443)</f>
        <v>0.45833333333333331</v>
      </c>
      <c r="R441" s="128">
        <f>IF(SP_SUL!P443="","*",SP_SUL!P443)</f>
        <v>8.3333333333333329E-2</v>
      </c>
      <c r="S441" s="110" t="str">
        <f>IF(SP_SUL!Q443="","*",CONCATENATE(SP_SUL!Q443," ",SP_SUL!R443))</f>
        <v>15 *</v>
      </c>
      <c r="T441" s="110" t="str">
        <f>IF(SP_SUL!V443="","*",SP_SUL!V443)</f>
        <v>Moisés</v>
      </c>
      <c r="U441" s="110" t="str">
        <f>IF(SP_SUL!W443="","*",SP_SUL!W443)</f>
        <v xml:space="preserve">Limpeza de lastro </v>
      </c>
      <c r="V441" s="112">
        <f ca="1">_xlfn.XLOOKUP(G441&amp;$V$2,BS_CONTROLE[CHAVE],BS_CONTROLE[Quantidade_11],"-")</f>
        <v>0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1588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1589</v>
      </c>
      <c r="D5" s="399"/>
      <c r="E5" s="399"/>
      <c r="F5" s="399"/>
      <c r="G5" s="399"/>
      <c r="H5" s="399"/>
      <c r="I5" s="399"/>
      <c r="J5" s="400"/>
      <c r="K5" s="401" t="s">
        <v>1590</v>
      </c>
      <c r="L5" s="402"/>
      <c r="M5" s="402"/>
      <c r="N5" s="402"/>
      <c r="O5" s="403" t="s">
        <v>1591</v>
      </c>
      <c r="P5" s="404"/>
      <c r="Q5" s="405"/>
    </row>
    <row r="6" spans="1:17" s="94" customFormat="1" ht="15.75" customHeight="1">
      <c r="A6" s="88" t="s">
        <v>1586</v>
      </c>
      <c r="B6" s="95" t="s">
        <v>1585</v>
      </c>
      <c r="C6" s="96" t="s">
        <v>873</v>
      </c>
      <c r="D6" s="97" t="s">
        <v>874</v>
      </c>
      <c r="E6" s="96" t="s">
        <v>1592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1593</v>
      </c>
      <c r="M6" s="139" t="s">
        <v>335</v>
      </c>
      <c r="N6" s="140" t="s">
        <v>868</v>
      </c>
      <c r="O6" s="246" t="s">
        <v>911</v>
      </c>
      <c r="P6" s="157"/>
      <c r="Q6" s="193" t="s">
        <v>1594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15h02.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12h46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12h46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12h46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>
        <f>IF(SP_SUL!B416="","*",SP_SUL!B416)</f>
        <v>46009</v>
      </c>
      <c r="B396" s="99" t="str">
        <f>IF(SP_SUL!X416="","*",SP_SUL!X416)</f>
        <v>Contrato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ZST-ZXI</v>
      </c>
      <c r="H396" s="154">
        <f>IF(SP_SUL!K416="","*",SP_SUL!K416)</f>
        <v>214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ZST-ZXI</v>
      </c>
      <c r="M396" s="141">
        <f>IF(SP_SUL!AP416="","*",SP_SUL!AP416)</f>
        <v>214</v>
      </c>
      <c r="N396" s="141" t="str">
        <f>IF(SP_SUL!AM416="","*",SP_SUL!AM416)</f>
        <v>ZST-ZXI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>
        <f>IF(SP_SUL!B418="","*",SP_SUL!B418)</f>
        <v>46009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CARLOS (TP-722)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>
        <f>IF(SP_SUL!B440="","*",SP_SUL!B440)</f>
        <v>46009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EDSON (TP-719)</v>
      </c>
      <c r="F419" s="100" t="str">
        <f>IF(SP_SUL!H440="","*",SP_SUL!H440)</f>
        <v>-</v>
      </c>
      <c r="G419" s="100" t="str">
        <f>IF(SP_SUL!M440="","*",SP_SUL!M440)</f>
        <v>ZGP-ZWU</v>
      </c>
      <c r="H419" s="154">
        <f>IF(SP_SUL!K440="","*",SP_SUL!K440)</f>
        <v>101.7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ZGP-ZWU</v>
      </c>
      <c r="M419" s="141">
        <f>IF(SP_SUL!AP440="","*",SP_SUL!AP440)</f>
        <v>101.7</v>
      </c>
      <c r="N419" s="141" t="str">
        <f>IF(SP_SUL!AM440="","*",SP_SUL!AM440)</f>
        <v>ZGP-ZWU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LEANDRO (TP-727)</v>
      </c>
      <c r="F420" s="100" t="str">
        <f>IF(SP_SUL!H441="","*",SP_SUL!H441)</f>
        <v>-</v>
      </c>
      <c r="G420" s="100" t="str">
        <f>IF(SP_SUL!M441="","*",SP_SUL!M441)</f>
        <v>ZPT</v>
      </c>
      <c r="H420" s="154">
        <f>IF(SP_SUL!K441="","*",SP_SUL!K441)</f>
        <v>106.5</v>
      </c>
      <c r="I420" s="132">
        <f>IF(SP_SUL!O441="","*",SP_SUL!O441)</f>
        <v>0.375</v>
      </c>
      <c r="J420" s="132">
        <f>IF(SP_SUL!P441="","*",SP_SUL!P441)</f>
        <v>0.125</v>
      </c>
      <c r="K420" s="141" t="str">
        <f>IF(SP_SUL!AK441="","*",SP_SUL!AK441)</f>
        <v>-</v>
      </c>
      <c r="L420" s="141" t="str">
        <f>IF(SP_SUL!AM441="","*",SP_SUL!AM441)</f>
        <v>ZPT</v>
      </c>
      <c r="M420" s="141">
        <f>IF(SP_SUL!AP441="","*",SP_SUL!AP441)</f>
        <v>106.5</v>
      </c>
      <c r="N420" s="141" t="str">
        <f>IF(SP_SUL!AM441="","*",SP_SUL!AM441)</f>
        <v>ZPT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ZPT-ZPG</v>
      </c>
      <c r="E421" s="100" t="str">
        <f>IF(SP_SUL!D442="","*",SP_SUL!D442)</f>
        <v>V85</v>
      </c>
      <c r="F421" s="100" t="str">
        <f>IF(SP_SUL!H442="","*",SP_SUL!H442)</f>
        <v>109ZPT2</v>
      </c>
      <c r="G421" s="100" t="str">
        <f>IF(SP_SUL!M442="","*",SP_SUL!M442)</f>
        <v>ZGM-109</v>
      </c>
      <c r="H421" s="154">
        <f>IF(SP_SUL!K442="","*",SP_SUL!K442)</f>
        <v>114.3</v>
      </c>
      <c r="I421" s="132">
        <f>IF(SP_SUL!O442="","*",SP_SUL!O442)</f>
        <v>0.35416666666666669</v>
      </c>
      <c r="J421" s="132">
        <f>IF(SP_SUL!P442="","*",SP_SUL!P442)</f>
        <v>6.25E-2</v>
      </c>
      <c r="K421" s="141" t="str">
        <f>IF(SP_SUL!AK442="","*",SP_SUL!AK442)</f>
        <v>109ZPT2</v>
      </c>
      <c r="L421" s="141" t="str">
        <f>IF(SP_SUL!AM442="","*",SP_SUL!AM442)</f>
        <v>ZGM-109</v>
      </c>
      <c r="M421" s="141">
        <f>IF(SP_SUL!AP442="","*",SP_SUL!AP442)</f>
        <v>114.3</v>
      </c>
      <c r="N421" s="141" t="str">
        <f>IF(SP_SUL!AM442="","*",SP_SUL!AM442)</f>
        <v>ZGM-109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DIEGO (TF-42)</v>
      </c>
      <c r="F422" s="100" t="str">
        <f>IF(SP_SUL!H443="","*",SP_SUL!H443)</f>
        <v>-</v>
      </c>
      <c r="G422" s="100" t="str">
        <f>IF(SP_SUL!M443="","*",SP_SUL!M443)</f>
        <v>ZGM-109</v>
      </c>
      <c r="H422" s="154">
        <f>IF(SP_SUL!K443="","*",SP_SUL!K443)</f>
        <v>115.5</v>
      </c>
      <c r="I422" s="132">
        <f>IF(SP_SUL!O443="","*",SP_SUL!O443)</f>
        <v>0.45833333333333331</v>
      </c>
      <c r="J422" s="132">
        <f>IF(SP_SUL!P443="","*",SP_SUL!P443)</f>
        <v>8.3333333333333329E-2</v>
      </c>
      <c r="K422" s="141" t="str">
        <f>IF(SP_SUL!AK443="","*",SP_SUL!AK443)</f>
        <v>-</v>
      </c>
      <c r="L422" s="141" t="str">
        <f>IF(SP_SUL!AM443="","*",SP_SUL!AM443)</f>
        <v>ZGM-109</v>
      </c>
      <c r="M422" s="141">
        <f>IF(SP_SUL!AP443="","*",SP_SUL!AP443)</f>
        <v>115.5</v>
      </c>
      <c r="N422" s="141" t="str">
        <f>IF(SP_SUL!AM443="","*",SP_SUL!AM443)</f>
        <v>ZGM-109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1595</v>
      </c>
      <c r="C2" s="96" t="s">
        <v>858</v>
      </c>
      <c r="D2" s="96" t="s">
        <v>860</v>
      </c>
      <c r="E2" s="96" t="s">
        <v>1596</v>
      </c>
      <c r="F2" s="96" t="s">
        <v>1597</v>
      </c>
      <c r="G2" s="96" t="s">
        <v>1598</v>
      </c>
      <c r="H2" s="96" t="s">
        <v>1599</v>
      </c>
      <c r="I2" s="96" t="s">
        <v>1600</v>
      </c>
      <c r="J2" s="96" t="s">
        <v>1601</v>
      </c>
      <c r="K2" s="131" t="s">
        <v>1602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*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ZST-ZXI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*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>
        <f>IF(SP_SUL!B418="","*",SP_SUL!B418)</f>
        <v>46009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*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*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CARLOS (TP-722)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*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*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*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*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*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*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*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>
        <f>IF(SP_SUL!B440="","*",SP_SUL!B440)</f>
        <v>46009</v>
      </c>
      <c r="D416" s="121" t="str">
        <f>IF(SP_SUL!D440="","*",SP_SUL!D440)</f>
        <v>EDSON (TP-719)</v>
      </c>
      <c r="E416" s="121" t="str">
        <f>IF(SP_SUL!H440="","*",SP_SUL!H440)</f>
        <v>-</v>
      </c>
      <c r="F416" s="137" t="str">
        <f>IF(SP_SUL!M440="","*",SP_SUL!M440)</f>
        <v>ZGP-ZWU</v>
      </c>
      <c r="G416" s="121" t="str">
        <f>IF(SP_SUL!I440="","*",SP_SUL!I440)</f>
        <v>-</v>
      </c>
      <c r="H416" s="121" t="str">
        <f>IF(SP_SUL!AB440="","*",SP_SUL!AB440)</f>
        <v>-</v>
      </c>
      <c r="I416" s="121" t="str">
        <f>IF(SP_SUL!AC440="","*",SP_SUL!AC440)</f>
        <v>-</v>
      </c>
      <c r="J416" s="122" t="str">
        <f>IF(SP_SUL!AA440="","*",SP_SUL!AA440)</f>
        <v>-</v>
      </c>
      <c r="K416" s="134" t="str">
        <f>IF(SP_SUL!AD440="","*",SP_SUL!AD440)</f>
        <v>-</v>
      </c>
    </row>
    <row r="417" spans="2:11" s="123" customFormat="1" hidden="1">
      <c r="B417" s="120" t="str">
        <f>IF(SP_SUL!Y441="","*",SP_SUL!Y441)</f>
        <v>*</v>
      </c>
      <c r="C417" s="121">
        <f>IF(SP_SUL!B441="","*",SP_SUL!B441)</f>
        <v>46009</v>
      </c>
      <c r="D417" s="121" t="str">
        <f>IF(SP_SUL!D441="","*",SP_SUL!D441)</f>
        <v>LEANDRO (TP-727)</v>
      </c>
      <c r="E417" s="121" t="str">
        <f>IF(SP_SUL!H441="","*",SP_SUL!H441)</f>
        <v>-</v>
      </c>
      <c r="F417" s="137" t="str">
        <f>IF(SP_SUL!M441="","*",SP_SUL!M441)</f>
        <v>ZPT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*</v>
      </c>
      <c r="C418" s="121">
        <f>IF(SP_SUL!B442="","*",SP_SUL!B442)</f>
        <v>46009</v>
      </c>
      <c r="D418" s="121" t="str">
        <f>IF(SP_SUL!D442="","*",SP_SUL!D442)</f>
        <v>V85</v>
      </c>
      <c r="E418" s="121" t="str">
        <f>IF(SP_SUL!H442="","*",SP_SUL!H442)</f>
        <v>109ZPT2</v>
      </c>
      <c r="F418" s="137" t="str">
        <f>IF(SP_SUL!M442="","*",SP_SUL!M442)</f>
        <v>ZGM-109</v>
      </c>
      <c r="G418" s="121" t="str">
        <f>IF(SP_SUL!I442="","*",SP_SUL!I442)</f>
        <v>ZPTZDR</v>
      </c>
      <c r="H418" s="121" t="str">
        <f>IF(SP_SUL!AB442="","*",SP_SUL!AB442)</f>
        <v>FIXO</v>
      </c>
      <c r="I418" s="121" t="str">
        <f>IF(SP_SUL!AC442="","*",SP_SUL!AC442)</f>
        <v>ACIONAMENTO</v>
      </c>
      <c r="J418" s="122">
        <f>IF(SP_SUL!AA442="","*",SP_SUL!AA442)</f>
        <v>1</v>
      </c>
      <c r="K418" s="134">
        <f>IF(SP_SUL!AD442="","*",SP_SUL!AD442)</f>
        <v>0.33333333333333331</v>
      </c>
    </row>
    <row r="419" spans="2:11" s="123" customFormat="1" hidden="1">
      <c r="B419" s="120" t="str">
        <f>IF(SP_SUL!Y443="","*",SP_SUL!Y443)</f>
        <v>*</v>
      </c>
      <c r="C419" s="121">
        <f>IF(SP_SUL!B443="","*",SP_SUL!B443)</f>
        <v>46009</v>
      </c>
      <c r="D419" s="121" t="str">
        <f>IF(SP_SUL!D443="","*",SP_SUL!D443)</f>
        <v>DIEGO (TF-42)</v>
      </c>
      <c r="E419" s="121" t="str">
        <f>IF(SP_SUL!H443="","*",SP_SUL!H443)</f>
        <v>-</v>
      </c>
      <c r="F419" s="137" t="str">
        <f>IF(SP_SUL!M443="","*",SP_SUL!M443)</f>
        <v>ZGM-109</v>
      </c>
      <c r="G419" s="121" t="str">
        <f>IF(SP_SUL!I443="","*",SP_SUL!I443)</f>
        <v>-</v>
      </c>
      <c r="H419" s="121" t="str">
        <f>IF(SP_SUL!AB443="","*",SP_SUL!AB443)</f>
        <v>-</v>
      </c>
      <c r="I419" s="121" t="str">
        <f>IF(SP_SUL!AC443="","*",SP_SUL!AC443)</f>
        <v>-</v>
      </c>
      <c r="J419" s="122" t="str">
        <f>IF(SP_SUL!AA443="","*",SP_SUL!AA443)</f>
        <v>-</v>
      </c>
      <c r="K419" s="134" t="str">
        <f>IF(SP_SUL!AD443="","*",SP_SUL!AD443)</f>
        <v>-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2025-12-17T16:58:22Z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