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96" documentId="8_{B6337239-1A00-434D-AAD0-422EA1FEB5AE}" xr6:coauthVersionLast="47" xr6:coauthVersionMax="47" xr10:uidLastSave="{97304392-DB6B-400F-B154-644E1FC4B50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<sst xmlns="http://schemas.openxmlformats.org/spreadsheetml/2006/main" count="4592" uniqueCount="1424">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</sst>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E38" activePane="topRight" state="frozen"/>
      <selection pane="topRight" activeCell="D51" sqref="D5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>TURMA FIXA VIA 46057</v>
      </c>
      <c r="B45" s="133">
        <v>46057</v>
      </c>
      <c r="C45" s="7">
        <f>IF(BS_CONTROLE[[#This Row],[DATA]]="","",WEEKNUM(BS_CONTROLE[[#This Row],[DATA]]))</f>
        <v>6</v>
      </c>
      <c r="D45" s="45" t="s">
        <v>265</v>
      </c>
      <c r="E45" s="185">
        <v>38</v>
      </c>
      <c r="F45" s="134" t="s">
        <v>200</v>
      </c>
      <c r="G45" s="8" t="str">
        <f>IF(D45="","*",VLOOKUP(F45,BS_ATIVIDADE[#All],3,FALSE))</f>
        <v>TRILHO - SUBSTITUIÇÂO</v>
      </c>
      <c r="H45" s="135" t="s">
        <v>877</v>
      </c>
      <c r="I45" s="135" t="s">
        <v>11</v>
      </c>
      <c r="J45" s="151">
        <v>101</v>
      </c>
      <c r="K45" s="151">
        <v>1413.05</v>
      </c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45" s="135">
        <v>0.41666666666666669</v>
      </c>
      <c r="P45" s="135">
        <v>8.3333333333333329E-2</v>
      </c>
      <c r="Q45" s="71">
        <v>8</v>
      </c>
      <c r="R45" s="9" t="str">
        <f>IFERROR(_xlfn.XLOOKUP(F45, BS_ATIVIDADE[ATIVIDADE],BS_ATIVIDADE[UNIDADE] ), "*")</f>
        <v>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5" s="199" t="str">
        <f>IFERROR(_xlfn.XLOOKUP(J45, BASE_MAPA!$B$2:$B$420, BASE_MAPA!$G$2:$G$420), "ERRO")</f>
        <v>PORTO NACIONAL - OURO VERDE</v>
      </c>
      <c r="V45" s="143" t="s">
        <v>1360</v>
      </c>
      <c r="W45" s="135" t="s">
        <v>1361</v>
      </c>
      <c r="X45" s="152" t="s">
        <v>1004</v>
      </c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SUBSTITUIÇÃO - TRILHO</v>
      </c>
      <c r="AJ45" s="8" t="str">
        <f>IF(D45="","*",VLOOKUP(AI45,BS_ATIVIDADE[#Data],3,FALSE))</f>
        <v>TRILHO - SUBSTITUIÇÂO</v>
      </c>
      <c r="AK45" s="175" t="str">
        <f>IF(BS_CONTROLE[[#This Row],[Local - Partida]]=0, "-", BS_CONTROLE[[#This Row],[Local - Partida]])</f>
        <v>PJGPSI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PSI-PJG</v>
      </c>
      <c r="AN45" s="175" t="str">
        <f>IF(BS_CONTROLE[[#This Row],[SB]]=0, "-", BS_CONTROLE[[#This Row],[SB]])</f>
        <v>PJGPSI</v>
      </c>
      <c r="AO45" s="176">
        <f>IF(BS_CONTROLE[[#This Row],[SUB]]=0, "-", BS_CONTROLE[[#This Row],[SUB]])</f>
        <v>101</v>
      </c>
      <c r="AP45" s="177">
        <f>IF(BS_CONTROLE[[#This Row],[KM - Inicio]]=0, "-", BS_CONTROLE[[#This Row],[KM - Inicio]])</f>
        <v>1413.05</v>
      </c>
      <c r="AQ45" s="177" t="str">
        <f>IF(BS_CONTROLE[[#This Row],[KM - Fim]]=0, "-", BS_CONTROLE[[#This Row],[KM - Fim]])</f>
        <v>-</v>
      </c>
      <c r="AR45" s="32">
        <v>0.45833333333333331</v>
      </c>
      <c r="AS45" s="32">
        <v>0.46180555555555558</v>
      </c>
      <c r="AT45" s="32">
        <v>0.54513888888888884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8.3333333333333259E-2</v>
      </c>
      <c r="AZ45" s="11"/>
      <c r="BA45" s="60"/>
      <c r="BB45" s="9" t="str">
        <f>IFERROR(_xlfn.XLOOKUP(AI45, BS_ATIVIDADE[ATIVIDADE],BS_ATIVIDADE[UNIDADE] ), "*")</f>
        <v>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5" s="200" t="str">
        <f>IFERROR(_xlfn.XLOOKUP(AO45, BASE_MAPA!$B$2:$B$420, BASE_MAPA!$G$2:$G$420), "ERRO")</f>
        <v>PORTO NACIONAL - OURO VERDE</v>
      </c>
      <c r="BF45" s="178" t="str">
        <f>IF(BS_CONTROLE[[#This Row],[Responsavel pelo boletim]]=0, "-", BS_CONTROLE[[#This Row],[Responsavel pelo boletim]])</f>
        <v>Carlito</v>
      </c>
      <c r="BG45" s="13"/>
      <c r="BH45" s="14">
        <v>1</v>
      </c>
      <c r="BI45" s="14"/>
      <c r="BJ45" s="14" t="s">
        <v>1362</v>
      </c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0.99999999999999911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1363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1364</v>
      </c>
      <c r="W46" s="135" t="s">
        <v>1365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1366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1367</v>
      </c>
      <c r="W47" s="135" t="s">
        <v>1368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1369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>W70</v>
      </c>
      <c r="B51" s="133"/>
      <c r="C51" s="7" t="str">
        <f>IF(BS_CONTROLE[[#This Row],[DATA]]="","",WEEKNUM(BS_CONTROLE[[#This Row],[DATA]]))</f>
        <v/>
      </c>
      <c r="D51" s="45" t="s">
        <v>249</v>
      </c>
      <c r="E51" s="185">
        <v>44</v>
      </c>
      <c r="F51" s="134"/>
      <c r="G51" s="8" t="e">
        <f>IF(D51="","*",VLOOKUP(F51,BS_ATIVIDADE[#All],3,FALSE))</f>
        <v>#N/A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e">
        <f>IF(D51="","*",VLOOKUP(AI51,BS_ATIVIDADE[#Data],3,FALSE))</f>
        <v>#N/A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IF(D51="","*",IFERROR(IF(ISODD(COUNT(AS51:AX53)),"ERRO",SUM((AT51-AS51),(AV51-AU51),(AX51-AW51))),"ERRO"))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1370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1371</v>
      </c>
      <c r="E3" s="186" t="s">
        <v>1372</v>
      </c>
      <c r="F3" s="186" t="s">
        <v>1373</v>
      </c>
      <c r="G3" s="186" t="s">
        <v>1374</v>
      </c>
      <c r="H3" s="186" t="s">
        <v>1375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1377</v>
      </c>
      <c r="D12" s="187">
        <v>9049</v>
      </c>
      <c r="E12" s="188">
        <v>46044</v>
      </c>
      <c r="F12" s="190" t="s">
        <v>1378</v>
      </c>
      <c r="G12" s="187" t="s">
        <v>1379</v>
      </c>
      <c r="H12" s="187"/>
    </row>
    <row r="13" spans="3:8">
      <c r="C13" s="187" t="s">
        <v>1377</v>
      </c>
      <c r="D13" s="187">
        <v>9044</v>
      </c>
      <c r="E13" s="188">
        <v>46044</v>
      </c>
      <c r="F13" s="190" t="s">
        <v>1380</v>
      </c>
      <c r="G13" s="187" t="s">
        <v>1381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1383</v>
      </c>
      <c r="B2" s="91" t="s">
        <v>1384</v>
      </c>
      <c r="C2" s="91" t="s">
        <v>7</v>
      </c>
      <c r="D2" s="92" t="s">
        <v>1210</v>
      </c>
      <c r="E2" s="92" t="s">
        <v>365</v>
      </c>
      <c r="F2" s="92" t="s">
        <v>1385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1386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MALHA CENTRAL</v>
      </c>
      <c r="E42" s="96" t="str">
        <f>IF(FN_MC!T45="","*",FN_MC!T45)</f>
        <v>PPN-POV</v>
      </c>
      <c r="F42" s="96">
        <f>IF(FN_MC!B45="","*",FN_MC!B45)</f>
        <v>46057</v>
      </c>
      <c r="G42" s="96" t="str">
        <f>IF(FN_MC!D45="","*",FN_MC!D45)</f>
        <v xml:space="preserve">TURMA FIXA VIA </v>
      </c>
      <c r="H42" s="96" t="str">
        <f>IF(FN_MC!F45="","*",FN_MC!F45)</f>
        <v>PDM - SUBSTITUIÇÃO - TRILHO</v>
      </c>
      <c r="I42" s="96" t="str">
        <f>IF(FN_MC!H45="","*",FN_MC!H45)</f>
        <v>PJGPSI</v>
      </c>
      <c r="J42" s="96" t="str">
        <f>IF(FN_MC!I45="","*",FN_MC!I45)</f>
        <v>-</v>
      </c>
      <c r="K42" s="96" t="str">
        <f>IF(FN_MC!M45="","*",FN_MC!M45)</f>
        <v>PSI-PJG</v>
      </c>
      <c r="L42" s="196" t="str">
        <f>IF(FN_MC!N45="","*",FN_MC!N45)</f>
        <v>PJGPSI</v>
      </c>
      <c r="M42" s="97">
        <f>IF(FN_MC!J45="","*",FN_MC!J45)</f>
        <v>101</v>
      </c>
      <c r="N42" s="183">
        <f>IF(FN_MC!K45="","*",FN_MC!K45)</f>
        <v>1413.05</v>
      </c>
      <c r="O42" s="183" t="str">
        <f>IF(FN_MC!L45="","*",FN_MC!L45)</f>
        <v>-</v>
      </c>
      <c r="P42" s="107">
        <f>IF(FN_MC!O45="","*",FN_MC!O45)</f>
        <v>0.41666666666666669</v>
      </c>
      <c r="Q42" s="107">
        <f>IF(FN_MC!P45="","*",FN_MC!P45)</f>
        <v>8.3333333333333329E-2</v>
      </c>
      <c r="R42" s="96" t="str">
        <f>IF(FN_MC!Q45="","*",CONCATENATE(FN_MC!Q45," ",FN_MC!R45))</f>
        <v>8 M</v>
      </c>
      <c r="S42" s="96" t="str">
        <f>IF(FN_MC!V45="","*",FN_MC!V45)</f>
        <v>Carlito</v>
      </c>
      <c r="T42" s="96" t="str">
        <f>IF(FN_MC!W45="","*",FN_MC!W45)</f>
        <v>Substituição de barra curta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W70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1387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1388</v>
      </c>
      <c r="C4" s="191" t="s">
        <v>1389</v>
      </c>
      <c r="D4" s="191" t="s">
        <v>1390</v>
      </c>
      <c r="E4" s="191" t="s">
        <v>1391</v>
      </c>
      <c r="F4" s="191" t="s">
        <v>365</v>
      </c>
      <c r="G4" s="191" t="s">
        <v>1392</v>
      </c>
    </row>
    <row r="5" spans="2:7">
      <c r="B5" s="192" t="s">
        <v>1393</v>
      </c>
      <c r="C5" s="192">
        <v>309525</v>
      </c>
      <c r="D5" s="192" t="s">
        <v>1394</v>
      </c>
      <c r="E5" s="192" t="s">
        <v>249</v>
      </c>
      <c r="F5" s="192" t="s">
        <v>1395</v>
      </c>
      <c r="G5" s="193">
        <v>46296</v>
      </c>
    </row>
    <row r="6" spans="2:7">
      <c r="B6" s="192" t="s">
        <v>1396</v>
      </c>
      <c r="C6" s="192">
        <v>257410</v>
      </c>
      <c r="D6" s="192" t="s">
        <v>1397</v>
      </c>
      <c r="E6" s="192" t="s">
        <v>249</v>
      </c>
      <c r="F6" s="192" t="s">
        <v>1395</v>
      </c>
      <c r="G6" s="193"/>
    </row>
    <row r="7" spans="2:7">
      <c r="B7" s="192" t="s">
        <v>1398</v>
      </c>
      <c r="C7" s="192">
        <v>256875</v>
      </c>
      <c r="D7" s="192" t="s">
        <v>1399</v>
      </c>
      <c r="E7" s="192" t="s">
        <v>249</v>
      </c>
      <c r="F7" s="192" t="s">
        <v>1395</v>
      </c>
      <c r="G7" s="193">
        <v>46296</v>
      </c>
    </row>
    <row r="8" spans="2:7">
      <c r="B8" s="192" t="s">
        <v>1400</v>
      </c>
      <c r="C8" s="192">
        <v>257278</v>
      </c>
      <c r="D8" s="192" t="s">
        <v>1401</v>
      </c>
      <c r="E8" s="192" t="s">
        <v>240</v>
      </c>
      <c r="F8" s="192" t="s">
        <v>1402</v>
      </c>
      <c r="G8" s="193">
        <v>46235</v>
      </c>
    </row>
    <row r="9" spans="2:7">
      <c r="B9" s="192" t="s">
        <v>1403</v>
      </c>
      <c r="C9" s="192">
        <v>261794</v>
      </c>
      <c r="D9" s="192" t="s">
        <v>1404</v>
      </c>
      <c r="E9" s="192" t="s">
        <v>240</v>
      </c>
      <c r="F9" s="192" t="s">
        <v>1402</v>
      </c>
      <c r="G9" s="193">
        <v>46082</v>
      </c>
    </row>
    <row r="10" spans="2:7">
      <c r="B10" s="192" t="s">
        <v>1405</v>
      </c>
      <c r="C10" s="192">
        <v>257033</v>
      </c>
      <c r="D10" s="192" t="s">
        <v>1406</v>
      </c>
      <c r="E10" s="192" t="s">
        <v>240</v>
      </c>
      <c r="F10" s="192" t="s">
        <v>479</v>
      </c>
      <c r="G10" s="192" t="s">
        <v>1407</v>
      </c>
    </row>
    <row r="11" spans="2:7">
      <c r="B11" s="192" t="s">
        <v>1408</v>
      </c>
      <c r="C11" s="192">
        <v>396578</v>
      </c>
      <c r="D11" s="192" t="s">
        <v>1409</v>
      </c>
      <c r="E11" s="192" t="s">
        <v>240</v>
      </c>
      <c r="F11" s="192" t="s">
        <v>479</v>
      </c>
      <c r="G11" s="192" t="s">
        <v>1407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1195</v>
      </c>
      <c r="D2" s="83" t="s">
        <v>1197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>
        <f>IF(FN_MC!B45="","*",FN_MC!B45)</f>
        <v>46057</v>
      </c>
      <c r="D40" s="101" t="str">
        <f>IF(FN_MC!D45="","*",FN_MC!D45)</f>
        <v xml:space="preserve">TURMA FIXA VIA </v>
      </c>
      <c r="E40" s="101" t="str">
        <f>IF(FN_MC!H45="","*",FN_MC!H45)</f>
        <v>PJGPSI</v>
      </c>
      <c r="F40" s="114" t="str">
        <f>IF(FN_MC!M45="","*",FN_MC!M45)</f>
        <v>PSI-PJG</v>
      </c>
      <c r="G40" s="101" t="str">
        <f>IF(FN_MC!I45="","*",FN_MC!I45)</f>
        <v>-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W70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1418</v>
      </c>
      <c r="D5" s="265"/>
      <c r="E5" s="265"/>
      <c r="F5" s="265"/>
      <c r="G5" s="265"/>
      <c r="H5" s="265"/>
      <c r="I5" s="265"/>
      <c r="J5" s="266"/>
      <c r="K5" s="267" t="s">
        <v>1419</v>
      </c>
      <c r="L5" s="268"/>
      <c r="M5" s="268"/>
      <c r="N5" s="268"/>
      <c r="O5" s="269" t="s">
        <v>1420</v>
      </c>
      <c r="P5" s="270"/>
      <c r="Q5" s="271"/>
    </row>
    <row r="6" spans="1:17" s="81" customFormat="1" ht="15.75" customHeight="1">
      <c r="A6" s="75" t="s">
        <v>1385</v>
      </c>
      <c r="B6" s="82" t="s">
        <v>1384</v>
      </c>
      <c r="C6" s="83" t="s">
        <v>1210</v>
      </c>
      <c r="D6" s="84" t="s">
        <v>1211</v>
      </c>
      <c r="E6" s="83" t="s">
        <v>1421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1422</v>
      </c>
      <c r="M6" s="116" t="s">
        <v>29</v>
      </c>
      <c r="N6" s="117" t="s">
        <v>1205</v>
      </c>
      <c r="O6" s="165" t="s">
        <v>1248</v>
      </c>
      <c r="P6" s="128"/>
      <c r="Q6" s="139" t="s">
        <v>1423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>
        <f>IF(FN_MC!B45="","*",FN_MC!B45)</f>
        <v>46057</v>
      </c>
      <c r="B44" s="86" t="str">
        <f>IF(FN_MC!X45="","*",FN_MC!X45)</f>
        <v>Oportunidade</v>
      </c>
      <c r="C44" s="87" t="str">
        <f>IF(FN_MC!S45="","*",FN_MC!S45)</f>
        <v>MALHA CENTRAL</v>
      </c>
      <c r="D44" s="87" t="str">
        <f>IF(FN_MC!T45="","*",FN_MC!T45)</f>
        <v>PPN-POV</v>
      </c>
      <c r="E44" s="87" t="str">
        <f>IF(FN_MC!D45="","*",FN_MC!D45)</f>
        <v xml:space="preserve">TURMA FIXA VIA </v>
      </c>
      <c r="F44" s="87" t="str">
        <f>IF(FN_MC!H45="","*",FN_MC!H45)</f>
        <v>PJGPSI</v>
      </c>
      <c r="G44" s="87" t="str">
        <f>IF(FN_MC!M45="","*",FN_MC!M45)</f>
        <v>PSI-PJG</v>
      </c>
      <c r="H44" s="125">
        <f>IF(FN_MC!K45="","*",FN_MC!K45)</f>
        <v>1413.05</v>
      </c>
      <c r="I44" s="110">
        <f>IF(FN_MC!O45="","*",FN_MC!O45)</f>
        <v>0.41666666666666669</v>
      </c>
      <c r="J44" s="110">
        <f>IF(FN_MC!P45="","*",FN_MC!P45)</f>
        <v>8.3333333333333329E-2</v>
      </c>
      <c r="K44" s="118" t="str">
        <f>IF(FN_MC!AK45="","*",FN_MC!AK45)</f>
        <v>PJGPSI</v>
      </c>
      <c r="L44" s="118" t="str">
        <f>IF(FN_MC!AM45="","*",FN_MC!AM45)</f>
        <v>PSI-PJG</v>
      </c>
      <c r="M44" s="118">
        <f>IF(FN_MC!AP45="","*",FN_MC!AP45)</f>
        <v>1413.05</v>
      </c>
      <c r="N44" s="118" t="str">
        <f>IF(FN_MC!AM45="","*",FN_MC!AM45)</f>
        <v>PSI-PJG</v>
      </c>
      <c r="O44" s="136">
        <f>FN_MC!BH45</f>
        <v>1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W70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